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3275" windowHeight="11760" activeTab="0"/>
  </bookViews>
  <sheets>
    <sheet name="Checking" sheetId="1" r:id="rId1"/>
    <sheet name="Savings" sheetId="2" r:id="rId2"/>
    <sheet name="Prior Year" sheetId="3" r:id="rId3"/>
    <sheet name="Detail thru 3.1.11" sheetId="4" r:id="rId4"/>
    <sheet name="Detail thru 5.5.11" sheetId="5" r:id="rId5"/>
    <sheet name="Detail thru 6.6.11" sheetId="6" r:id="rId6"/>
  </sheets>
  <definedNames>
    <definedName name="_xlnm._FilterDatabase" localSheetId="0" hidden="1">'Checking'!$A$19:$N$171</definedName>
    <definedName name="_xlnm.Print_Area" localSheetId="0">'Checking'!$A$1:$I$172</definedName>
    <definedName name="_xlnm.Print_Area" localSheetId="2">'Prior Year'!$A$4:$J$34</definedName>
  </definedNames>
  <calcPr fullCalcOnLoad="1"/>
</workbook>
</file>

<file path=xl/comments3.xml><?xml version="1.0" encoding="utf-8"?>
<comments xmlns="http://schemas.openxmlformats.org/spreadsheetml/2006/main">
  <authors>
    <author>Kevin Bell</author>
  </authors>
  <commentList>
    <comment ref="E44" authorId="0">
      <text>
        <r>
          <rPr>
            <b/>
            <sz val="8"/>
            <rFont val="Tahoma"/>
            <family val="0"/>
          </rPr>
          <t>Kevin Bell:</t>
        </r>
        <r>
          <rPr>
            <sz val="8"/>
            <rFont val="Tahoma"/>
            <family val="0"/>
          </rPr>
          <t xml:space="preserve">
The gym floor contribution from the Winter Carnival was initially made by Ms. Galloway to get the floor in quicker.  Ms. Galloway was going to also purchase laptop computers for the upper school.  The idea was presented (by Ms. Galloway?) that to make things easier the PTO pay for the laptops instead of reimbursing her for the floor.  The PTO is still technically paying for the floor and NOT purchasing laptops.  The laptop purchase was several thousand dollars cheaper than the balance on the gym floor.  Purchase total for laptops &amp; licensing: $12,623.26; purchase total for cart:  Original plan was to pay for lap tops, licensing, and cart.  However, there was enough money left over from donations for the science lab from parents to purchase the lap top cart.  Therefore, the PTO was not billed for the cart.</t>
        </r>
      </text>
    </comment>
  </commentList>
</comments>
</file>

<file path=xl/sharedStrings.xml><?xml version="1.0" encoding="utf-8"?>
<sst xmlns="http://schemas.openxmlformats.org/spreadsheetml/2006/main" count="1578" uniqueCount="303">
  <si>
    <t>The Galloway School</t>
  </si>
  <si>
    <t>The Galloway School PTO</t>
  </si>
  <si>
    <t>Check Register 2010-2011 School Year</t>
  </si>
  <si>
    <t>Check #</t>
  </si>
  <si>
    <t>Description</t>
  </si>
  <si>
    <t>Deposit</t>
  </si>
  <si>
    <t>Withdrawl</t>
  </si>
  <si>
    <t>Balance</t>
  </si>
  <si>
    <t>Date</t>
  </si>
  <si>
    <t>Void</t>
  </si>
  <si>
    <t>Transaction/Payee</t>
  </si>
  <si>
    <t>Case of Paper</t>
  </si>
  <si>
    <t>Category</t>
  </si>
  <si>
    <t>Op Exp</t>
  </si>
  <si>
    <t>Fred Allen Jr. CPA</t>
  </si>
  <si>
    <t>Fed Form 990 Preparation 2009</t>
  </si>
  <si>
    <t>Moody Bank Operating Acct # 6500110</t>
  </si>
  <si>
    <t xml:space="preserve">Moody Bank Savings Acct # </t>
  </si>
  <si>
    <t>PTO Fundraisers, Activities &amp; Expenses</t>
  </si>
  <si>
    <t>Income</t>
  </si>
  <si>
    <t>Expenses</t>
  </si>
  <si>
    <t>Fundraisers</t>
  </si>
  <si>
    <t>Delicious Delights</t>
  </si>
  <si>
    <t>International Dinner</t>
  </si>
  <si>
    <t>Winter Carnival</t>
  </si>
  <si>
    <t>Fun Run</t>
  </si>
  <si>
    <t>Box Tops</t>
  </si>
  <si>
    <t>Activities &amp; Expenses</t>
  </si>
  <si>
    <t>ORP</t>
  </si>
  <si>
    <t>Published Books</t>
  </si>
  <si>
    <t>Penguin Patch</t>
  </si>
  <si>
    <t>Aeros Game</t>
  </si>
  <si>
    <t>Art Extravaganza</t>
  </si>
  <si>
    <t>Musical Program Videos</t>
  </si>
  <si>
    <t xml:space="preserve">Yearbook </t>
  </si>
  <si>
    <t>Teacher Appreciation</t>
  </si>
  <si>
    <t>Misc. Income &amp; Expenses</t>
  </si>
  <si>
    <t xml:space="preserve">Total </t>
  </si>
  <si>
    <t>2007-2008</t>
  </si>
  <si>
    <t>School Directory</t>
  </si>
  <si>
    <t xml:space="preserve">Coffee/Tea </t>
  </si>
  <si>
    <t>School Store</t>
  </si>
  <si>
    <t>Scripts</t>
  </si>
  <si>
    <t>2009-2010</t>
  </si>
  <si>
    <t>Yearbook</t>
  </si>
  <si>
    <t>Christine Le</t>
  </si>
  <si>
    <t>Ad Refund - Ad didn't make the yearbook</t>
  </si>
  <si>
    <t>State Comptroller</t>
  </si>
  <si>
    <t>Sales Tax Late Filing Fee</t>
  </si>
  <si>
    <t>JP Cooke Company</t>
  </si>
  <si>
    <t>Bank Fee</t>
  </si>
  <si>
    <t>Moody Bank</t>
  </si>
  <si>
    <t>Beginning Balance - Per Checkbook</t>
  </si>
  <si>
    <t>Beginning Balance 5/28/10</t>
  </si>
  <si>
    <t>Interest</t>
  </si>
  <si>
    <t>ORP Tags</t>
  </si>
  <si>
    <t>Directory</t>
  </si>
  <si>
    <t>Yearbook Sales</t>
  </si>
  <si>
    <t>Directory Ad Sales</t>
  </si>
  <si>
    <t>ORP Shirt Sales</t>
  </si>
  <si>
    <t>Roxanne Zamora</t>
  </si>
  <si>
    <t>Pizza for kids - PTO meeting</t>
  </si>
  <si>
    <t xml:space="preserve">ORP Shirts </t>
  </si>
  <si>
    <t>Main Street Theater</t>
  </si>
  <si>
    <t>Peer to Peer Traveling Shakespeare Workshop</t>
  </si>
  <si>
    <t>The Pasta Shoppe</t>
  </si>
  <si>
    <t>Pasta Fundraiser Sales</t>
  </si>
  <si>
    <t>Pasta Shoppe's portion of sales</t>
  </si>
  <si>
    <t>Fundraiser</t>
  </si>
  <si>
    <t>School</t>
  </si>
  <si>
    <t>Winter Carnival Sponsorships</t>
  </si>
  <si>
    <t>Directory Total</t>
  </si>
  <si>
    <t>Fundraiser Total</t>
  </si>
  <si>
    <t>Op Exp Total</t>
  </si>
  <si>
    <t>ORP Total</t>
  </si>
  <si>
    <t>School Total</t>
  </si>
  <si>
    <t>Winter Carnival Total</t>
  </si>
  <si>
    <t>Yearbook Total</t>
  </si>
  <si>
    <t>Grand Total</t>
  </si>
  <si>
    <t>Yearbook - Chuck E Cheese</t>
  </si>
  <si>
    <t>Kathrym Espana</t>
  </si>
  <si>
    <t>Reimbursement of items</t>
  </si>
  <si>
    <t>Reimbursement of Bears</t>
  </si>
  <si>
    <t>Pizza Hut</t>
  </si>
  <si>
    <t>Yearbook 2011</t>
  </si>
  <si>
    <t>Jostens, Inc</t>
  </si>
  <si>
    <t>Deposit for Yearbook 2011</t>
  </si>
  <si>
    <t>Herff Jones</t>
  </si>
  <si>
    <t>Final Payment</t>
  </si>
  <si>
    <t>Maxine Morris</t>
  </si>
  <si>
    <t>Bonnie Cerace</t>
  </si>
  <si>
    <t>Heather Montes</t>
  </si>
  <si>
    <t>Holiday Store</t>
  </si>
  <si>
    <t>Master Valet Parking</t>
  </si>
  <si>
    <t>Valet</t>
  </si>
  <si>
    <t>ECF Farms</t>
  </si>
  <si>
    <t>Pony Rides</t>
  </si>
  <si>
    <t>Houston Trackless Trains</t>
  </si>
  <si>
    <t>Train, Rockwall, Etc</t>
  </si>
  <si>
    <t>Reimbursement - WC</t>
  </si>
  <si>
    <t>Reimbursement - Holiday Store</t>
  </si>
  <si>
    <t>Nery Santos</t>
  </si>
  <si>
    <t>Worked at WC</t>
  </si>
  <si>
    <t>WInter Carnival Sponsorships &amp; Ticket Sales</t>
  </si>
  <si>
    <t>Beg Bal</t>
  </si>
  <si>
    <t>Beg Bal Total</t>
  </si>
  <si>
    <t>Holiday Store Total</t>
  </si>
  <si>
    <t>Yearbook 2011 Total</t>
  </si>
  <si>
    <t>Holiday Store Sales</t>
  </si>
  <si>
    <t>Re-imburese for picture w Santa</t>
  </si>
  <si>
    <t>Carrabba's</t>
  </si>
  <si>
    <t>Teacher Lunch</t>
  </si>
  <si>
    <t>Lyndsey Jackson</t>
  </si>
  <si>
    <t>Kay Eleraas</t>
  </si>
  <si>
    <t>Photographer - Santa Pic - WC</t>
  </si>
  <si>
    <t>Letitia Smith</t>
  </si>
  <si>
    <t>Shirley Pierce</t>
  </si>
  <si>
    <t>Deposit $1977</t>
  </si>
  <si>
    <t>Booth</t>
  </si>
  <si>
    <t>Bfast w Santa</t>
  </si>
  <si>
    <t>Family Cuisiene</t>
  </si>
  <si>
    <t>Food for Bfast w Santa</t>
  </si>
  <si>
    <t>Per Bank</t>
  </si>
  <si>
    <t>o/s</t>
  </si>
  <si>
    <t>Adjust to Bank</t>
  </si>
  <si>
    <t>Bank Bal</t>
  </si>
  <si>
    <t>YEAR END</t>
  </si>
  <si>
    <t>Box Tops  for Education</t>
  </si>
  <si>
    <t>Fun Run Registration and Sponsorships</t>
  </si>
  <si>
    <t>Bath salts for Holiday Store</t>
  </si>
  <si>
    <t>Box Tops Total</t>
  </si>
  <si>
    <t>Fun Run Total</t>
  </si>
  <si>
    <t>Teacher Appreciation Total</t>
  </si>
  <si>
    <t>Amount</t>
  </si>
  <si>
    <t>Bfast w Santa Total</t>
  </si>
  <si>
    <t>Valentine Store</t>
  </si>
  <si>
    <t>Cash For Valentine Store</t>
  </si>
  <si>
    <t>Gift Cards for Winners of Pasta Fundraiser</t>
  </si>
  <si>
    <t>Jessica Meah</t>
  </si>
  <si>
    <t>BabySitting for PTO meeting</t>
  </si>
  <si>
    <t>Texas Comptroller</t>
  </si>
  <si>
    <t>Q4 Sales Tax Reporting</t>
  </si>
  <si>
    <t>Benny's</t>
  </si>
  <si>
    <t>Fun Run Tshirts</t>
  </si>
  <si>
    <t>Second Deposit for Yearbook 2011</t>
  </si>
  <si>
    <t>Lori Burke</t>
  </si>
  <si>
    <t>Re-imburse for Fun Run Winner's Gift Cards</t>
  </si>
  <si>
    <t>void</t>
  </si>
  <si>
    <t xml:space="preserve">Fun Run </t>
  </si>
  <si>
    <t>Campbell Timing Systems</t>
  </si>
  <si>
    <t>Bay Area Running Club</t>
  </si>
  <si>
    <t>Jay Lee</t>
  </si>
  <si>
    <t>Fun Run Race Management</t>
  </si>
  <si>
    <t>Subtotal</t>
  </si>
  <si>
    <t>Shakespere Total</t>
  </si>
  <si>
    <t>Galloway School PTO</t>
  </si>
  <si>
    <t>Detail thru 03/01/2011</t>
  </si>
  <si>
    <t>Late Fee</t>
  </si>
  <si>
    <t>Michelle Oronoto</t>
  </si>
  <si>
    <t>Reimburse for T-shirt down payment - Benny's</t>
  </si>
  <si>
    <t>Reimbursment for Pizza</t>
  </si>
  <si>
    <t>PTO Babysitting</t>
  </si>
  <si>
    <t>Dean King</t>
  </si>
  <si>
    <t>Winner</t>
  </si>
  <si>
    <t>Jess Williams</t>
  </si>
  <si>
    <t>Reimburesment for Cookie Bouquet - Principle's Bday</t>
  </si>
  <si>
    <t>Overpaid Skate Party Ticket</t>
  </si>
  <si>
    <t>Mandy Hardee</t>
  </si>
  <si>
    <t>Reimburse for Skate Party Pearland Skate</t>
  </si>
  <si>
    <t>Roxann Zamora</t>
  </si>
  <si>
    <t>Reimburse Holiday Store items</t>
  </si>
  <si>
    <t>Skate Party</t>
  </si>
  <si>
    <t>Yearbook Signing - Chuck E Cheese</t>
  </si>
  <si>
    <t xml:space="preserve">Gringo's </t>
  </si>
  <si>
    <t>Yearbook Purchases</t>
  </si>
  <si>
    <t>Skate Party Tickets</t>
  </si>
  <si>
    <t>Reimburse Pizza for PTO Meeting</t>
  </si>
  <si>
    <t>Gringos Family Night</t>
  </si>
  <si>
    <t>Gringo's  Total</t>
  </si>
  <si>
    <t>Skate Party Total</t>
  </si>
  <si>
    <t>Net Profit to Date</t>
  </si>
  <si>
    <t>Yearbook 2010 Total</t>
  </si>
  <si>
    <t>2010-2011</t>
  </si>
  <si>
    <t>2008-2009</t>
  </si>
  <si>
    <t>Grand Total Ending Cash Bal</t>
  </si>
  <si>
    <t>Pasta Fundraiser</t>
  </si>
  <si>
    <t>School Programs/Family Fun Nights</t>
  </si>
  <si>
    <t>Gift to School</t>
  </si>
  <si>
    <t>Technology</t>
  </si>
  <si>
    <t>PTO Contributions to the School 2007-08</t>
  </si>
  <si>
    <t>Computer Department</t>
  </si>
  <si>
    <t>balance of grant money</t>
  </si>
  <si>
    <t>spanish curriculum / textbooks</t>
  </si>
  <si>
    <t>1701 / 1707</t>
  </si>
  <si>
    <t>risers</t>
  </si>
  <si>
    <t>teacher wish list items</t>
  </si>
  <si>
    <t>tables &amp; chairs</t>
  </si>
  <si>
    <t>gym floor cover</t>
  </si>
  <si>
    <t>gym floor</t>
  </si>
  <si>
    <t>speed bumps</t>
  </si>
  <si>
    <t>1783 / 1788</t>
  </si>
  <si>
    <t>music items for Mrs. Arnett</t>
  </si>
  <si>
    <t>playground area fence</t>
  </si>
  <si>
    <t>small bus painting</t>
  </si>
  <si>
    <t>garbage dumpster fence</t>
  </si>
  <si>
    <t>1784 / 1793</t>
  </si>
  <si>
    <t>*** $49,420.51 paid to school in 2007-08; $41,030.44 income in 2007-08; additional income came from carryover from 2006-07; total income will increase to approx. $45,000 when the Yearbook category is complete***</t>
  </si>
  <si>
    <t>School Exterior-Playground Fence</t>
  </si>
  <si>
    <t>School Bus Painting</t>
  </si>
  <si>
    <t>Music Department-Handbells</t>
  </si>
  <si>
    <t>School Exterior-Dumpster Fence</t>
  </si>
  <si>
    <t>School Exterior-Speed Bumps</t>
  </si>
  <si>
    <t>Physical Education-Gym Floor</t>
  </si>
  <si>
    <t>School-Tables &amp; Chairs</t>
  </si>
  <si>
    <t>Music Department-Choir Risers</t>
  </si>
  <si>
    <t>Foreign Language-Spanish Curricul</t>
  </si>
  <si>
    <t>Teachers Wish Lists</t>
  </si>
  <si>
    <t>Bullet Points for Meeting:</t>
  </si>
  <si>
    <t>Items Remaining:</t>
  </si>
  <si>
    <t xml:space="preserve">  Yearbook expenses will offset final payment</t>
  </si>
  <si>
    <t xml:space="preserve">  Teacher appreciation - approx expense</t>
  </si>
  <si>
    <t xml:space="preserve">  Spirit Shirts - approx expense</t>
  </si>
  <si>
    <t xml:space="preserve">  Water Day - Lower School</t>
  </si>
  <si>
    <t>$15,000-$18,000</t>
  </si>
  <si>
    <t>Estimated profit avail for donation to school</t>
  </si>
  <si>
    <t xml:space="preserve"> - Water day for Lower School</t>
  </si>
  <si>
    <t xml:space="preserve">  Checking Account</t>
  </si>
  <si>
    <t xml:space="preserve">  Savings Account</t>
  </si>
  <si>
    <t>Reminder:  Must leave $5000 in each account at year end</t>
  </si>
  <si>
    <t>1)  Net Profit for the year so far -</t>
  </si>
  <si>
    <t>2)  Cash Balance today:</t>
  </si>
  <si>
    <t>PTO Final Meeting</t>
  </si>
  <si>
    <t xml:space="preserve"> - Peer to Peer Shakespeare Workshop - Upper School</t>
  </si>
  <si>
    <t>3)  Re-cap of PTO donated programs/funds to school this year</t>
  </si>
  <si>
    <t xml:space="preserve"> - Contribution to Cover Lower School Playground</t>
  </si>
  <si>
    <t>Bounce Above</t>
  </si>
  <si>
    <t>Slide Rental for Water Day</t>
  </si>
  <si>
    <t>Linda Nigro</t>
  </si>
  <si>
    <t>Fun Run Winner</t>
  </si>
  <si>
    <t>Spirit Shirts</t>
  </si>
  <si>
    <t>Teacher Appreciation - Ice Cream</t>
  </si>
  <si>
    <t>Teacher Appreciation - Gift Cards</t>
  </si>
  <si>
    <t>Donation from Vu Family - Water Day</t>
  </si>
  <si>
    <t>Flowers for PTO Board - Awards</t>
  </si>
  <si>
    <t>Deposit for Slide for Water Day - Void</t>
  </si>
  <si>
    <t>Reimburse - Gift Cards for PTO Meeting &amp; Babysitting</t>
  </si>
  <si>
    <t xml:space="preserve">Cash from Bank </t>
  </si>
  <si>
    <t>Beth Hubbard</t>
  </si>
  <si>
    <t>Tina Jain</t>
  </si>
  <si>
    <t>Reimbursement for Winter Carnival</t>
  </si>
  <si>
    <t>Reimbursement for Winter Carnival &amp; Other Misc Op Exp</t>
  </si>
  <si>
    <t>Kim Lesak</t>
  </si>
  <si>
    <t>Gingerbread and Pumkin Carving</t>
  </si>
  <si>
    <t>Flowers for PTO Board - Awards - Upper School Night</t>
  </si>
  <si>
    <t>Spectrum</t>
  </si>
  <si>
    <t>Purchases</t>
  </si>
  <si>
    <t>Joyce Obruzt</t>
  </si>
  <si>
    <t>Box Tops Reimburse for Expenses</t>
  </si>
  <si>
    <t>Fun Run Refund on Gift Cards that didn't work</t>
  </si>
  <si>
    <t>Yearbook 2010</t>
  </si>
  <si>
    <t>School Function</t>
  </si>
  <si>
    <t xml:space="preserve"> School Function</t>
  </si>
  <si>
    <t xml:space="preserve"> School Function Total</t>
  </si>
  <si>
    <t>Spirit Shirts Total</t>
  </si>
  <si>
    <t>Event</t>
  </si>
  <si>
    <t>Net Profit To Date:</t>
  </si>
  <si>
    <t xml:space="preserve">  (ending balance - beginning balance)</t>
  </si>
  <si>
    <t>Outstanding Items:</t>
  </si>
  <si>
    <t xml:space="preserve">  1)  Chair Party</t>
  </si>
  <si>
    <t xml:space="preserve">  2)  Final Yearbook Payment</t>
  </si>
  <si>
    <t xml:space="preserve">  3)  Tax Return Preparation Fee</t>
  </si>
  <si>
    <t xml:space="preserve">  4)  Amount to be remaining in bank</t>
  </si>
  <si>
    <t>Total Outstanding Items</t>
  </si>
  <si>
    <t>Maximum Amt Available for Donation</t>
  </si>
  <si>
    <t>2010-2011 School Year</t>
  </si>
  <si>
    <t>May 7, 1011</t>
  </si>
  <si>
    <t>Year End Report Summary</t>
  </si>
  <si>
    <t>Summer Family Fun Day</t>
  </si>
  <si>
    <t>Family Fun Water Slides</t>
  </si>
  <si>
    <t>Pizza for Family Fun Day</t>
  </si>
  <si>
    <t>John Imitz</t>
  </si>
  <si>
    <t>DJ Family Fun Day</t>
  </si>
  <si>
    <t>Supplies Family Fun Day</t>
  </si>
  <si>
    <t>Joyce Obrzut</t>
  </si>
  <si>
    <t>Donation</t>
  </si>
  <si>
    <t>Technology Donation</t>
  </si>
  <si>
    <t>Adding Error</t>
  </si>
  <si>
    <t>Bank Transfer</t>
  </si>
  <si>
    <t>Transfer From Savings</t>
  </si>
  <si>
    <t>O/S Checks</t>
  </si>
  <si>
    <t>Prior Year / Treasurer Activity /Beg Bal</t>
  </si>
  <si>
    <t>Tax Return Prep</t>
  </si>
  <si>
    <t xml:space="preserve">  5)  Family Fun Day - Summer</t>
  </si>
  <si>
    <t>School Donation</t>
  </si>
  <si>
    <t>Donation - Playground Cover</t>
  </si>
  <si>
    <t>Final Yearbook Payment</t>
  </si>
  <si>
    <t>This might have been a deposit - May have been torn up</t>
  </si>
  <si>
    <t xml:space="preserve">Void </t>
  </si>
  <si>
    <t>#2008 Void - was a deposit for waterslides paid #2009</t>
  </si>
  <si>
    <t xml:space="preserve">Yearbook Signing - </t>
  </si>
  <si>
    <t>Piccolomolo Italian</t>
  </si>
  <si>
    <t>Flowers for C.Salerno Memorial Service</t>
  </si>
  <si>
    <t>Playgnd Cover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</si>
</sst>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s>
  <fonts count="47">
    <font>
      <sz val="10"/>
      <name val="Arial"/>
      <family val="0"/>
    </font>
    <font>
      <b/>
      <sz val="10"/>
      <name val="Arial"/>
      <family val="2"/>
    </font>
    <font>
      <b/>
      <sz val="12"/>
      <name val="Arial"/>
      <family val="2"/>
    </font>
    <font>
      <sz val="8"/>
      <name val="Arial"/>
      <family val="0"/>
    </font>
    <font>
      <b/>
      <sz val="11"/>
      <color indexed="8"/>
      <name val="Arial"/>
      <family val="2"/>
    </font>
    <font>
      <b/>
      <sz val="11"/>
      <name val="Arial"/>
      <family val="2"/>
    </font>
    <font>
      <sz val="10"/>
      <color indexed="8"/>
      <name val="Arial"/>
      <family val="2"/>
    </font>
    <font>
      <u val="single"/>
      <sz val="10"/>
      <color indexed="12"/>
      <name val="Arial"/>
      <family val="0"/>
    </font>
    <font>
      <b/>
      <sz val="8"/>
      <name val="Tahoma"/>
      <family val="0"/>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thin"/>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Alignment="1">
      <alignment/>
    </xf>
    <xf numFmtId="0" fontId="0" fillId="0" borderId="0" xfId="0" applyAlignment="1">
      <alignment horizontal="center"/>
    </xf>
    <xf numFmtId="44" fontId="0" fillId="0" borderId="0" xfId="44" applyFont="1" applyAlignment="1">
      <alignment/>
    </xf>
    <xf numFmtId="44" fontId="1" fillId="0" borderId="0" xfId="44" applyFont="1" applyAlignment="1">
      <alignment/>
    </xf>
    <xf numFmtId="0" fontId="1" fillId="0" borderId="0" xfId="0" applyFont="1" applyAlignment="1">
      <alignment/>
    </xf>
    <xf numFmtId="14" fontId="0" fillId="0" borderId="0" xfId="0" applyNumberFormat="1" applyAlignment="1">
      <alignment/>
    </xf>
    <xf numFmtId="0" fontId="1" fillId="32" borderId="10" xfId="0" applyFont="1" applyFill="1" applyBorder="1" applyAlignment="1">
      <alignment horizontal="center"/>
    </xf>
    <xf numFmtId="0" fontId="1" fillId="32" borderId="11" xfId="0" applyFont="1" applyFill="1" applyBorder="1" applyAlignment="1">
      <alignment horizontal="center"/>
    </xf>
    <xf numFmtId="44" fontId="1" fillId="32" borderId="11" xfId="44" applyFont="1" applyFill="1" applyBorder="1" applyAlignment="1">
      <alignment horizontal="center"/>
    </xf>
    <xf numFmtId="44" fontId="1" fillId="32" borderId="12" xfId="44" applyFont="1" applyFill="1" applyBorder="1" applyAlignment="1">
      <alignment horizontal="center"/>
    </xf>
    <xf numFmtId="14" fontId="0" fillId="0" borderId="0" xfId="0" applyNumberFormat="1" applyAlignment="1">
      <alignment horizontal="center"/>
    </xf>
    <xf numFmtId="0" fontId="4" fillId="32" borderId="13"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1" fillId="0" borderId="0" xfId="0" applyFont="1" applyFill="1" applyBorder="1" applyAlignment="1">
      <alignment horizontal="right"/>
    </xf>
    <xf numFmtId="44" fontId="1" fillId="0" borderId="0" xfId="44" applyNumberFormat="1" applyFont="1" applyBorder="1" applyAlignment="1">
      <alignment/>
    </xf>
    <xf numFmtId="44" fontId="1" fillId="0" borderId="14" xfId="44" applyNumberFormat="1" applyFont="1" applyBorder="1" applyAlignment="1">
      <alignment/>
    </xf>
    <xf numFmtId="44" fontId="1" fillId="33" borderId="15" xfId="44" applyNumberFormat="1" applyFont="1" applyFill="1" applyBorder="1" applyAlignment="1">
      <alignment/>
    </xf>
    <xf numFmtId="0" fontId="1" fillId="0" borderId="0" xfId="0" applyFont="1" applyBorder="1" applyAlignment="1">
      <alignment horizontal="center"/>
    </xf>
    <xf numFmtId="44" fontId="1" fillId="0" borderId="0" xfId="44" applyNumberFormat="1" applyFont="1" applyFill="1" applyBorder="1" applyAlignment="1">
      <alignment/>
    </xf>
    <xf numFmtId="44" fontId="0" fillId="0" borderId="16" xfId="44" applyFont="1" applyBorder="1" applyAlignment="1">
      <alignment/>
    </xf>
    <xf numFmtId="0" fontId="2" fillId="32" borderId="13" xfId="0" applyFont="1" applyFill="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44" fontId="0" fillId="0" borderId="16" xfId="44" applyFont="1" applyFill="1" applyBorder="1" applyAlignment="1">
      <alignment/>
    </xf>
    <xf numFmtId="0" fontId="0" fillId="0" borderId="17" xfId="0" applyBorder="1" applyAlignment="1">
      <alignment/>
    </xf>
    <xf numFmtId="44" fontId="0" fillId="0" borderId="0" xfId="0" applyNumberFormat="1" applyAlignment="1">
      <alignment/>
    </xf>
    <xf numFmtId="44" fontId="0" fillId="0" borderId="0" xfId="44" applyFont="1" applyAlignment="1">
      <alignment/>
    </xf>
    <xf numFmtId="0" fontId="1" fillId="0" borderId="0" xfId="0" applyFont="1" applyAlignment="1">
      <alignment horizontal="center"/>
    </xf>
    <xf numFmtId="0" fontId="1" fillId="0" borderId="0" xfId="0" applyNumberFormat="1" applyFont="1" applyAlignment="1">
      <alignment horizontal="center"/>
    </xf>
    <xf numFmtId="44" fontId="1" fillId="32" borderId="0" xfId="44" applyFont="1" applyFill="1" applyBorder="1" applyAlignment="1">
      <alignment horizontal="center"/>
    </xf>
    <xf numFmtId="0" fontId="0" fillId="34" borderId="0" xfId="0" applyFill="1" applyAlignment="1">
      <alignment horizontal="center"/>
    </xf>
    <xf numFmtId="0" fontId="0" fillId="34" borderId="0" xfId="0" applyFill="1" applyAlignment="1">
      <alignment/>
    </xf>
    <xf numFmtId="44" fontId="0" fillId="34" borderId="0" xfId="44" applyFont="1" applyFill="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center"/>
    </xf>
    <xf numFmtId="44" fontId="1" fillId="0" borderId="0" xfId="0" applyNumberFormat="1" applyFont="1" applyAlignment="1">
      <alignment/>
    </xf>
    <xf numFmtId="44" fontId="1" fillId="0" borderId="18" xfId="0" applyNumberFormat="1" applyFont="1" applyBorder="1" applyAlignment="1">
      <alignment/>
    </xf>
    <xf numFmtId="44" fontId="0" fillId="0" borderId="0" xfId="44" applyFont="1" applyAlignment="1">
      <alignment horizontal="right"/>
    </xf>
    <xf numFmtId="0" fontId="2" fillId="32" borderId="19" xfId="0" applyFont="1" applyFill="1" applyBorder="1" applyAlignment="1">
      <alignment horizontal="center"/>
    </xf>
    <xf numFmtId="0" fontId="2" fillId="32" borderId="20" xfId="0" applyFont="1" applyFill="1" applyBorder="1" applyAlignment="1">
      <alignment horizontal="center"/>
    </xf>
    <xf numFmtId="44" fontId="1" fillId="34" borderId="0" xfId="0" applyNumberFormat="1" applyFont="1" applyFill="1" applyAlignment="1">
      <alignment/>
    </xf>
    <xf numFmtId="44" fontId="1" fillId="0" borderId="0" xfId="44" applyFont="1" applyAlignment="1">
      <alignment horizontal="center"/>
    </xf>
    <xf numFmtId="0" fontId="0" fillId="33" borderId="11" xfId="0" applyFill="1" applyBorder="1" applyAlignment="1">
      <alignment/>
    </xf>
    <xf numFmtId="44" fontId="1" fillId="0" borderId="0" xfId="44" applyFont="1" applyFill="1" applyAlignment="1">
      <alignment/>
    </xf>
    <xf numFmtId="44" fontId="1" fillId="33" borderId="12" xfId="44" applyFont="1" applyFill="1" applyBorder="1" applyAlignment="1">
      <alignment/>
    </xf>
    <xf numFmtId="0" fontId="1" fillId="32" borderId="21" xfId="0" applyFont="1" applyFill="1" applyBorder="1" applyAlignment="1">
      <alignment horizontal="center"/>
    </xf>
    <xf numFmtId="0" fontId="1" fillId="32" borderId="22" xfId="0" applyFont="1" applyFill="1" applyBorder="1" applyAlignment="1">
      <alignment horizontal="center"/>
    </xf>
    <xf numFmtId="164" fontId="0" fillId="0" borderId="21" xfId="0" applyNumberFormat="1" applyBorder="1" applyAlignment="1">
      <alignment/>
    </xf>
    <xf numFmtId="0" fontId="0" fillId="0" borderId="21" xfId="0" applyBorder="1" applyAlignment="1">
      <alignment/>
    </xf>
    <xf numFmtId="44" fontId="0" fillId="0" borderId="22" xfId="0" applyNumberFormat="1" applyFont="1" applyFill="1" applyBorder="1" applyAlignment="1" applyProtection="1">
      <alignment/>
      <protection locked="0"/>
    </xf>
    <xf numFmtId="0" fontId="0" fillId="0" borderId="0" xfId="0" applyFill="1" applyAlignment="1">
      <alignment/>
    </xf>
    <xf numFmtId="0" fontId="0" fillId="0" borderId="22" xfId="0" applyBorder="1" applyAlignment="1">
      <alignment/>
    </xf>
    <xf numFmtId="44" fontId="0" fillId="0" borderId="22" xfId="0" applyNumberFormat="1" applyFont="1" applyFill="1" applyBorder="1" applyAlignment="1">
      <alignment/>
    </xf>
    <xf numFmtId="0" fontId="0" fillId="0" borderId="22" xfId="0" applyBorder="1" applyAlignment="1" quotePrefix="1">
      <alignment horizontal="right"/>
    </xf>
    <xf numFmtId="0" fontId="0" fillId="0" borderId="0" xfId="0" applyFill="1" applyBorder="1" applyAlignment="1">
      <alignment/>
    </xf>
    <xf numFmtId="1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44" fontId="0" fillId="0" borderId="0" xfId="0" applyNumberFormat="1" applyFont="1" applyFill="1" applyBorder="1" applyAlignment="1" applyProtection="1">
      <alignment/>
      <protection locked="0"/>
    </xf>
    <xf numFmtId="0" fontId="0" fillId="0" borderId="0" xfId="0" applyFont="1" applyFill="1" applyBorder="1" applyAlignment="1" applyProtection="1" quotePrefix="1">
      <alignment/>
      <protection locked="0"/>
    </xf>
    <xf numFmtId="0" fontId="0" fillId="32" borderId="0" xfId="0" applyFill="1" applyAlignment="1">
      <alignment/>
    </xf>
    <xf numFmtId="0" fontId="0" fillId="32" borderId="0" xfId="0" applyFont="1" applyFill="1" applyAlignment="1">
      <alignment/>
    </xf>
    <xf numFmtId="44" fontId="0" fillId="32" borderId="0" xfId="44" applyFont="1" applyFill="1" applyAlignment="1">
      <alignment/>
    </xf>
    <xf numFmtId="44" fontId="0" fillId="0" borderId="0" xfId="44" applyFont="1" applyFill="1" applyAlignment="1">
      <alignment/>
    </xf>
    <xf numFmtId="44" fontId="1" fillId="0" borderId="19" xfId="44" applyFont="1" applyBorder="1" applyAlignment="1">
      <alignment/>
    </xf>
    <xf numFmtId="0" fontId="1" fillId="32" borderId="0" xfId="0" applyFont="1" applyFill="1" applyAlignment="1">
      <alignment/>
    </xf>
    <xf numFmtId="44" fontId="1" fillId="32" borderId="23" xfId="0" applyNumberFormat="1" applyFont="1" applyFill="1" applyBorder="1" applyAlignment="1">
      <alignment/>
    </xf>
    <xf numFmtId="0" fontId="0" fillId="0" borderId="0" xfId="0" applyFont="1" applyFill="1" applyAlignment="1">
      <alignment/>
    </xf>
    <xf numFmtId="0" fontId="0" fillId="0" borderId="0" xfId="0" applyNumberFormat="1" applyFont="1" applyAlignment="1">
      <alignment horizontal="center"/>
    </xf>
    <xf numFmtId="0" fontId="0" fillId="32" borderId="0" xfId="0" applyFill="1" applyAlignment="1">
      <alignment horizontal="center"/>
    </xf>
    <xf numFmtId="14" fontId="0" fillId="32" borderId="0" xfId="0" applyNumberFormat="1" applyFill="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0" fontId="0" fillId="0" borderId="18" xfId="0" applyBorder="1" applyAlignment="1">
      <alignment/>
    </xf>
    <xf numFmtId="0" fontId="0" fillId="0" borderId="24" xfId="0" applyBorder="1" applyAlignment="1">
      <alignment/>
    </xf>
    <xf numFmtId="44" fontId="1" fillId="0" borderId="25" xfId="44" applyFont="1" applyBorder="1" applyAlignment="1">
      <alignment/>
    </xf>
    <xf numFmtId="44" fontId="0" fillId="0" borderId="18" xfId="0" applyNumberFormat="1" applyBorder="1" applyAlignment="1">
      <alignment/>
    </xf>
    <xf numFmtId="44" fontId="0" fillId="0" borderId="26" xfId="44" applyFont="1" applyBorder="1" applyAlignment="1">
      <alignment/>
    </xf>
    <xf numFmtId="0" fontId="0" fillId="0" borderId="27" xfId="0" applyBorder="1" applyAlignment="1">
      <alignment/>
    </xf>
    <xf numFmtId="0" fontId="0" fillId="0" borderId="28" xfId="0" applyBorder="1" applyAlignment="1">
      <alignment/>
    </xf>
    <xf numFmtId="44" fontId="0" fillId="0" borderId="29" xfId="44" applyFont="1" applyBorder="1" applyAlignment="1">
      <alignment/>
    </xf>
    <xf numFmtId="0" fontId="0" fillId="0" borderId="0" xfId="0" applyBorder="1" applyAlignment="1">
      <alignment/>
    </xf>
    <xf numFmtId="44" fontId="1" fillId="0" borderId="30" xfId="0" applyNumberFormat="1" applyFont="1" applyBorder="1" applyAlignment="1">
      <alignment/>
    </xf>
    <xf numFmtId="44" fontId="0" fillId="0" borderId="0" xfId="0" applyNumberFormat="1" applyBorder="1" applyAlignment="1">
      <alignment/>
    </xf>
    <xf numFmtId="44" fontId="1" fillId="0" borderId="24" xfId="0" applyNumberFormat="1" applyFont="1" applyBorder="1" applyAlignment="1">
      <alignment/>
    </xf>
    <xf numFmtId="0" fontId="0" fillId="0" borderId="30" xfId="0" applyBorder="1" applyAlignment="1">
      <alignment/>
    </xf>
    <xf numFmtId="44" fontId="0" fillId="0" borderId="25" xfId="44" applyFont="1" applyBorder="1" applyAlignment="1">
      <alignment/>
    </xf>
    <xf numFmtId="44" fontId="0" fillId="0" borderId="18" xfId="44" applyFont="1" applyBorder="1" applyAlignment="1">
      <alignment/>
    </xf>
    <xf numFmtId="44" fontId="0" fillId="0" borderId="30" xfId="0" applyNumberFormat="1" applyBorder="1" applyAlignment="1">
      <alignment/>
    </xf>
    <xf numFmtId="44" fontId="0" fillId="0" borderId="27" xfId="0" applyNumberFormat="1" applyBorder="1" applyAlignment="1">
      <alignment/>
    </xf>
    <xf numFmtId="44" fontId="0" fillId="0" borderId="24" xfId="0" applyNumberFormat="1" applyBorder="1" applyAlignment="1">
      <alignment/>
    </xf>
    <xf numFmtId="0" fontId="2" fillId="0" borderId="0" xfId="0" applyFont="1" applyAlignment="1">
      <alignment horizontal="center"/>
    </xf>
    <xf numFmtId="0" fontId="0" fillId="0" borderId="22" xfId="0" applyBorder="1" applyAlignment="1">
      <alignment horizontal="left"/>
    </xf>
    <xf numFmtId="0" fontId="0" fillId="0" borderId="0" xfId="0" applyAlignment="1">
      <alignment horizontal="left"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31" xfId="0" applyFont="1" applyBorder="1" applyAlignment="1">
      <alignment horizontal="center"/>
    </xf>
    <xf numFmtId="0" fontId="2" fillId="32" borderId="22" xfId="0" applyFont="1" applyFill="1" applyBorder="1" applyAlignment="1">
      <alignment horizontal="center"/>
    </xf>
    <xf numFmtId="0" fontId="1" fillId="32" borderId="22" xfId="0" applyFont="1" applyFill="1" applyBorder="1" applyAlignment="1">
      <alignment horizontal="center"/>
    </xf>
    <xf numFmtId="0" fontId="2" fillId="32" borderId="21" xfId="0" applyFont="1" applyFill="1" applyBorder="1" applyAlignment="1">
      <alignment horizontal="center"/>
    </xf>
    <xf numFmtId="0" fontId="2" fillId="32" borderId="19" xfId="0" applyFont="1" applyFill="1" applyBorder="1" applyAlignment="1">
      <alignment horizontal="center"/>
    </xf>
    <xf numFmtId="0" fontId="2" fillId="32" borderId="20" xfId="0" applyFont="1" applyFill="1" applyBorder="1" applyAlignment="1">
      <alignment horizontal="center"/>
    </xf>
    <xf numFmtId="0" fontId="6" fillId="0" borderId="32" xfId="53" applyFont="1" applyFill="1" applyBorder="1" applyAlignment="1" applyProtection="1">
      <alignment horizontal="center" vertical="center" wrapText="1"/>
      <protection/>
    </xf>
    <xf numFmtId="0" fontId="6" fillId="0" borderId="33" xfId="53" applyFont="1" applyFill="1" applyBorder="1" applyAlignment="1" applyProtection="1">
      <alignment horizontal="center" vertical="center" wrapText="1"/>
      <protection/>
    </xf>
    <xf numFmtId="0" fontId="6" fillId="0" borderId="34" xfId="53" applyFont="1" applyFill="1" applyBorder="1" applyAlignment="1" applyProtection="1">
      <alignment horizontal="center" vertical="center" wrapText="1"/>
      <protection/>
    </xf>
    <xf numFmtId="0" fontId="6" fillId="0" borderId="35" xfId="53" applyFont="1" applyFill="1" applyBorder="1" applyAlignment="1" applyProtection="1">
      <alignment horizontal="center" vertical="center" wrapText="1"/>
      <protection/>
    </xf>
    <xf numFmtId="0" fontId="6" fillId="0" borderId="36" xfId="53" applyFont="1" applyFill="1" applyBorder="1" applyAlignment="1" applyProtection="1">
      <alignment horizontal="center" vertical="center" wrapText="1"/>
      <protection/>
    </xf>
    <xf numFmtId="0" fontId="6" fillId="0" borderId="37" xfId="53" applyFont="1" applyFill="1" applyBorder="1" applyAlignment="1" applyProtection="1">
      <alignment horizontal="center" vertical="center" wrapText="1"/>
      <protection/>
    </xf>
    <xf numFmtId="0" fontId="6" fillId="0" borderId="38" xfId="53" applyFont="1" applyFill="1" applyBorder="1" applyAlignment="1" applyProtection="1">
      <alignment horizontal="center" vertical="center" wrapText="1"/>
      <protection/>
    </xf>
    <xf numFmtId="0" fontId="1" fillId="0" borderId="0" xfId="0" applyFont="1" applyAlignment="1">
      <alignment horizontal="center"/>
    </xf>
    <xf numFmtId="0" fontId="0" fillId="0" borderId="11" xfId="0" applyFill="1" applyBorder="1" applyAlignment="1">
      <alignment/>
    </xf>
    <xf numFmtId="0" fontId="1" fillId="0" borderId="10" xfId="0" applyFont="1" applyFill="1" applyBorder="1" applyAlignment="1">
      <alignment horizontal="right"/>
    </xf>
    <xf numFmtId="44" fontId="1" fillId="33" borderId="10" xfId="44" applyFont="1" applyFill="1" applyBorder="1" applyAlignment="1">
      <alignment horizontal="center"/>
    </xf>
    <xf numFmtId="0" fontId="0" fillId="33" borderId="39" xfId="0" applyFill="1" applyBorder="1" applyAlignment="1">
      <alignment/>
    </xf>
    <xf numFmtId="44" fontId="1" fillId="33" borderId="39" xfId="44"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74"/>
  <sheetViews>
    <sheetView tabSelected="1" zoomScalePageLayoutView="0" workbookViewId="0" topLeftCell="A1">
      <pane xSplit="4" ySplit="6" topLeftCell="E139" activePane="bottomRight" state="frozen"/>
      <selection pane="topLeft" activeCell="A1" sqref="A1"/>
      <selection pane="topRight" activeCell="E1" sqref="E1"/>
      <selection pane="bottomLeft" activeCell="A7" sqref="A7"/>
      <selection pane="bottomRight" activeCell="G174" sqref="G174"/>
    </sheetView>
  </sheetViews>
  <sheetFormatPr defaultColWidth="9.140625" defaultRowHeight="12.75"/>
  <cols>
    <col min="1" max="1" width="2.28125" style="0" customWidth="1"/>
    <col min="2" max="2" width="13.8515625" style="1" customWidth="1"/>
    <col min="3" max="3" width="9.7109375" style="1" customWidth="1"/>
    <col min="4" max="4" width="12.421875" style="1" customWidth="1"/>
    <col min="5" max="5" width="19.57421875" style="0" customWidth="1"/>
    <col min="6" max="6" width="44.28125" style="0" customWidth="1"/>
    <col min="7" max="7" width="13.7109375" style="2" customWidth="1"/>
    <col min="8" max="8" width="13.421875" style="2" customWidth="1"/>
    <col min="9" max="9" width="16.8515625" style="2" bestFit="1" customWidth="1"/>
    <col min="10" max="10" width="13.00390625" style="2" bestFit="1" customWidth="1"/>
    <col min="11" max="11" width="11.57421875" style="0" bestFit="1" customWidth="1"/>
    <col min="12" max="13" width="10.28125" style="0" bestFit="1" customWidth="1"/>
  </cols>
  <sheetData>
    <row r="1" spans="1:9" ht="15.75">
      <c r="A1" s="91" t="s">
        <v>1</v>
      </c>
      <c r="B1" s="91"/>
      <c r="C1" s="91"/>
      <c r="D1" s="91"/>
      <c r="E1" s="91"/>
      <c r="F1" s="91"/>
      <c r="G1" s="91"/>
      <c r="H1" s="91"/>
      <c r="I1" s="91"/>
    </row>
    <row r="2" spans="1:9" ht="15.75">
      <c r="A2" s="91" t="s">
        <v>2</v>
      </c>
      <c r="B2" s="91"/>
      <c r="C2" s="91"/>
      <c r="D2" s="91"/>
      <c r="E2" s="91"/>
      <c r="F2" s="91"/>
      <c r="G2" s="91"/>
      <c r="H2" s="91"/>
      <c r="I2" s="91"/>
    </row>
    <row r="3" spans="1:9" ht="15.75">
      <c r="A3" s="91" t="s">
        <v>16</v>
      </c>
      <c r="B3" s="91"/>
      <c r="C3" s="91"/>
      <c r="D3" s="91"/>
      <c r="E3" s="91"/>
      <c r="F3" s="91"/>
      <c r="G3" s="91"/>
      <c r="H3" s="91"/>
      <c r="I3" s="91"/>
    </row>
    <row r="5" ht="13.5" thickBot="1"/>
    <row r="6" spans="2:11" ht="13.5" thickBot="1">
      <c r="B6" s="6" t="s">
        <v>12</v>
      </c>
      <c r="C6" s="7" t="s">
        <v>3</v>
      </c>
      <c r="D6" s="7" t="s">
        <v>8</v>
      </c>
      <c r="E6" s="7" t="s">
        <v>10</v>
      </c>
      <c r="F6" s="7" t="s">
        <v>4</v>
      </c>
      <c r="G6" s="8" t="s">
        <v>6</v>
      </c>
      <c r="H6" s="8" t="s">
        <v>5</v>
      </c>
      <c r="I6" s="9" t="s">
        <v>7</v>
      </c>
      <c r="J6" s="29" t="s">
        <v>122</v>
      </c>
      <c r="K6" s="29" t="s">
        <v>289</v>
      </c>
    </row>
    <row r="8" spans="6:9" ht="12.75">
      <c r="F8" s="4" t="s">
        <v>290</v>
      </c>
      <c r="I8" s="2">
        <v>37816.57</v>
      </c>
    </row>
    <row r="9" spans="6:9" ht="12.75">
      <c r="F9" s="4"/>
      <c r="I9" s="2">
        <f aca="true" t="shared" si="0" ref="I9:I14">+I8-G9+H9</f>
        <v>37816.57</v>
      </c>
    </row>
    <row r="10" spans="2:9" ht="12.75">
      <c r="B10" s="1" t="s">
        <v>26</v>
      </c>
      <c r="C10" s="1">
        <v>1936</v>
      </c>
      <c r="D10" s="10">
        <v>40325</v>
      </c>
      <c r="E10" t="s">
        <v>283</v>
      </c>
      <c r="F10" t="s">
        <v>283</v>
      </c>
      <c r="G10" s="2">
        <v>61.71</v>
      </c>
      <c r="I10" s="2">
        <f t="shared" si="0"/>
        <v>37754.86</v>
      </c>
    </row>
    <row r="11" spans="2:9" ht="12.75">
      <c r="B11" s="1" t="s">
        <v>13</v>
      </c>
      <c r="D11" s="10"/>
      <c r="F11" t="s">
        <v>286</v>
      </c>
      <c r="H11" s="2">
        <v>65.3</v>
      </c>
      <c r="I11" s="2">
        <f t="shared" si="0"/>
        <v>37820.16</v>
      </c>
    </row>
    <row r="12" spans="2:9" ht="12.75">
      <c r="B12" s="1" t="s">
        <v>13</v>
      </c>
      <c r="D12" s="10">
        <v>40326</v>
      </c>
      <c r="E12" t="s">
        <v>287</v>
      </c>
      <c r="F12" t="s">
        <v>288</v>
      </c>
      <c r="H12" s="2">
        <v>5012.21</v>
      </c>
      <c r="I12" s="2">
        <f t="shared" si="0"/>
        <v>42832.37</v>
      </c>
    </row>
    <row r="13" spans="2:9" ht="12.75">
      <c r="B13" s="1" t="s">
        <v>259</v>
      </c>
      <c r="D13" s="10">
        <v>40326</v>
      </c>
      <c r="F13" t="s">
        <v>174</v>
      </c>
      <c r="H13" s="2">
        <v>1100</v>
      </c>
      <c r="I13" s="2">
        <f t="shared" si="0"/>
        <v>43932.37</v>
      </c>
    </row>
    <row r="14" spans="2:9" ht="12.75">
      <c r="B14" s="1" t="s">
        <v>284</v>
      </c>
      <c r="C14" s="1">
        <v>1937</v>
      </c>
      <c r="D14" s="10">
        <v>40326</v>
      </c>
      <c r="E14" t="s">
        <v>0</v>
      </c>
      <c r="F14" t="s">
        <v>285</v>
      </c>
      <c r="G14" s="2">
        <v>36420.16</v>
      </c>
      <c r="I14" s="2">
        <f t="shared" si="0"/>
        <v>7512.209999999999</v>
      </c>
    </row>
    <row r="15" ht="12.75">
      <c r="D15" s="10"/>
    </row>
    <row r="16" spans="2:9" ht="12.75">
      <c r="B16" s="69"/>
      <c r="C16" s="69"/>
      <c r="D16" s="70"/>
      <c r="E16" s="60"/>
      <c r="F16" s="60"/>
      <c r="G16" s="62"/>
      <c r="H16" s="62"/>
      <c r="I16" s="62"/>
    </row>
    <row r="17" spans="2:9" ht="12.75">
      <c r="B17" s="71"/>
      <c r="C17" s="71"/>
      <c r="D17" s="72"/>
      <c r="E17" s="51"/>
      <c r="F17" s="51"/>
      <c r="G17" s="63"/>
      <c r="H17" s="63"/>
      <c r="I17" s="63"/>
    </row>
    <row r="18" spans="4:9" ht="12.75">
      <c r="D18" s="10"/>
      <c r="F18" s="4" t="s">
        <v>52</v>
      </c>
      <c r="H18" s="2">
        <v>7512.21</v>
      </c>
      <c r="I18" s="2">
        <f>+I16-G18+H18</f>
        <v>7512.21</v>
      </c>
    </row>
    <row r="19" ht="12.75">
      <c r="I19" s="3"/>
    </row>
    <row r="20" spans="2:9" ht="12.75">
      <c r="B20" s="1" t="s">
        <v>13</v>
      </c>
      <c r="D20" s="10"/>
      <c r="F20" t="s">
        <v>124</v>
      </c>
      <c r="G20" s="2">
        <v>302.5</v>
      </c>
      <c r="I20" s="2">
        <f>+I18-G20+H20</f>
        <v>7209.71</v>
      </c>
    </row>
    <row r="21" spans="2:11" ht="12.75">
      <c r="B21" s="1" t="s">
        <v>13</v>
      </c>
      <c r="D21" s="10">
        <v>40359</v>
      </c>
      <c r="E21" s="5" t="s">
        <v>51</v>
      </c>
      <c r="F21" t="s">
        <v>50</v>
      </c>
      <c r="G21" s="3">
        <v>12.5</v>
      </c>
      <c r="I21" s="3">
        <f aca="true" t="shared" si="1" ref="I21:I89">+I20-G21+H21</f>
        <v>7197.21</v>
      </c>
      <c r="J21" s="2">
        <v>7228.22</v>
      </c>
      <c r="K21" s="25">
        <f>+J21-I21</f>
        <v>31.01000000000022</v>
      </c>
    </row>
    <row r="22" spans="2:11" ht="12.75">
      <c r="B22" s="71" t="s">
        <v>13</v>
      </c>
      <c r="D22" s="10">
        <v>40389</v>
      </c>
      <c r="E22" s="5" t="s">
        <v>51</v>
      </c>
      <c r="F22" t="s">
        <v>50</v>
      </c>
      <c r="G22" s="3">
        <v>12.5</v>
      </c>
      <c r="I22" s="3">
        <f t="shared" si="1"/>
        <v>7184.71</v>
      </c>
      <c r="J22" s="2">
        <v>7197.21</v>
      </c>
      <c r="K22" s="25">
        <f>+J22-I22</f>
        <v>12.5</v>
      </c>
    </row>
    <row r="23" spans="2:9" ht="12.75">
      <c r="B23" s="71" t="s">
        <v>13</v>
      </c>
      <c r="C23" s="1">
        <v>1938</v>
      </c>
      <c r="D23" s="10">
        <v>40421</v>
      </c>
      <c r="E23" s="5"/>
      <c r="F23" t="s">
        <v>9</v>
      </c>
      <c r="G23" s="3">
        <v>0</v>
      </c>
      <c r="I23" s="2">
        <f t="shared" si="1"/>
        <v>7184.71</v>
      </c>
    </row>
    <row r="24" spans="2:11" ht="12.75">
      <c r="B24" s="71" t="s">
        <v>13</v>
      </c>
      <c r="D24" s="10">
        <v>40421</v>
      </c>
      <c r="E24" s="5" t="s">
        <v>51</v>
      </c>
      <c r="F24" t="s">
        <v>50</v>
      </c>
      <c r="G24" s="3">
        <v>12.5</v>
      </c>
      <c r="I24" s="2">
        <f t="shared" si="1"/>
        <v>7172.21</v>
      </c>
      <c r="K24" s="25"/>
    </row>
    <row r="25" spans="2:9" ht="12.75">
      <c r="B25" s="71" t="s">
        <v>13</v>
      </c>
      <c r="C25" s="1">
        <v>1939</v>
      </c>
      <c r="D25" s="10">
        <v>40422</v>
      </c>
      <c r="E25" t="s">
        <v>0</v>
      </c>
      <c r="F25" t="s">
        <v>11</v>
      </c>
      <c r="G25" s="3">
        <v>35</v>
      </c>
      <c r="I25" s="2">
        <f t="shared" si="1"/>
        <v>7137.21</v>
      </c>
    </row>
    <row r="26" spans="2:9" ht="12.75">
      <c r="B26" s="71" t="s">
        <v>13</v>
      </c>
      <c r="C26" s="1">
        <v>1940</v>
      </c>
      <c r="D26" s="10">
        <v>40431</v>
      </c>
      <c r="E26" t="s">
        <v>14</v>
      </c>
      <c r="F26" t="s">
        <v>15</v>
      </c>
      <c r="G26" s="3">
        <v>250</v>
      </c>
      <c r="I26" s="2">
        <f t="shared" si="1"/>
        <v>6887.21</v>
      </c>
    </row>
    <row r="27" spans="2:9" ht="12.75">
      <c r="B27" s="71" t="s">
        <v>259</v>
      </c>
      <c r="C27" s="1">
        <v>1941</v>
      </c>
      <c r="D27" s="10">
        <v>40449</v>
      </c>
      <c r="E27" t="s">
        <v>45</v>
      </c>
      <c r="F27" t="s">
        <v>46</v>
      </c>
      <c r="G27" s="3">
        <v>200</v>
      </c>
      <c r="I27" s="2">
        <f t="shared" si="1"/>
        <v>6687.21</v>
      </c>
    </row>
    <row r="28" spans="2:11" ht="12.75">
      <c r="B28" s="71" t="s">
        <v>13</v>
      </c>
      <c r="D28" s="10">
        <v>40451</v>
      </c>
      <c r="E28" t="s">
        <v>51</v>
      </c>
      <c r="F28" t="s">
        <v>50</v>
      </c>
      <c r="G28" s="3">
        <v>12.5</v>
      </c>
      <c r="I28" s="3">
        <f t="shared" si="1"/>
        <v>6674.71</v>
      </c>
      <c r="J28" s="2">
        <v>7019.21</v>
      </c>
      <c r="K28" s="25">
        <f>+J28-I28</f>
        <v>344.5</v>
      </c>
    </row>
    <row r="29" spans="2:12" ht="12.75">
      <c r="B29" s="71" t="s">
        <v>13</v>
      </c>
      <c r="C29" s="1">
        <v>1942</v>
      </c>
      <c r="D29" s="10">
        <v>40457</v>
      </c>
      <c r="E29" t="s">
        <v>47</v>
      </c>
      <c r="F29" t="s">
        <v>48</v>
      </c>
      <c r="G29" s="3">
        <v>52.07</v>
      </c>
      <c r="I29" s="2">
        <f t="shared" si="1"/>
        <v>6622.64</v>
      </c>
      <c r="J29" s="38" t="s">
        <v>123</v>
      </c>
      <c r="K29">
        <v>200</v>
      </c>
      <c r="L29">
        <v>1941</v>
      </c>
    </row>
    <row r="30" spans="2:9" ht="12.75">
      <c r="B30" s="71" t="s">
        <v>28</v>
      </c>
      <c r="C30" s="1">
        <v>1943</v>
      </c>
      <c r="D30" s="10">
        <v>40463</v>
      </c>
      <c r="E30" t="s">
        <v>49</v>
      </c>
      <c r="F30" t="s">
        <v>55</v>
      </c>
      <c r="G30" s="3">
        <v>165.42</v>
      </c>
      <c r="I30" s="2">
        <f t="shared" si="1"/>
        <v>6457.22</v>
      </c>
    </row>
    <row r="31" spans="2:9" ht="12.75">
      <c r="B31" s="71" t="s">
        <v>28</v>
      </c>
      <c r="D31" s="10">
        <v>40465</v>
      </c>
      <c r="E31" t="s">
        <v>5</v>
      </c>
      <c r="F31" t="s">
        <v>59</v>
      </c>
      <c r="H31" s="3">
        <f>10+24+12+12</f>
        <v>58</v>
      </c>
      <c r="I31" s="2">
        <f t="shared" si="1"/>
        <v>6515.22</v>
      </c>
    </row>
    <row r="32" spans="2:9" ht="12.75">
      <c r="B32" s="71" t="s">
        <v>56</v>
      </c>
      <c r="D32" s="10">
        <v>40465</v>
      </c>
      <c r="E32" t="s">
        <v>5</v>
      </c>
      <c r="F32" t="s">
        <v>58</v>
      </c>
      <c r="H32" s="3">
        <v>35</v>
      </c>
      <c r="I32" s="2">
        <f t="shared" si="1"/>
        <v>6550.22</v>
      </c>
    </row>
    <row r="33" spans="2:9" ht="12.75">
      <c r="B33" s="71" t="s">
        <v>259</v>
      </c>
      <c r="D33" s="10">
        <v>40465</v>
      </c>
      <c r="E33" t="s">
        <v>5</v>
      </c>
      <c r="F33" t="s">
        <v>57</v>
      </c>
      <c r="H33" s="3">
        <f>45+90+45+45+45+45+45+45+100+45+45+45+45+45</f>
        <v>730</v>
      </c>
      <c r="I33" s="2">
        <f t="shared" si="1"/>
        <v>7280.22</v>
      </c>
    </row>
    <row r="34" spans="2:9" ht="12.75">
      <c r="B34" s="71" t="s">
        <v>13</v>
      </c>
      <c r="C34" s="1">
        <v>1944</v>
      </c>
      <c r="D34" s="10">
        <v>40463</v>
      </c>
      <c r="E34" t="s">
        <v>60</v>
      </c>
      <c r="F34" t="s">
        <v>61</v>
      </c>
      <c r="G34" s="3">
        <v>22.5</v>
      </c>
      <c r="I34" s="2">
        <f t="shared" si="1"/>
        <v>7257.72</v>
      </c>
    </row>
    <row r="35" spans="2:9" ht="12.75">
      <c r="B35" s="71" t="s">
        <v>28</v>
      </c>
      <c r="C35" s="1">
        <v>1945</v>
      </c>
      <c r="D35" s="10">
        <v>40470</v>
      </c>
      <c r="F35" t="s">
        <v>62</v>
      </c>
      <c r="G35" s="3">
        <v>1176</v>
      </c>
      <c r="I35" s="2">
        <f t="shared" si="1"/>
        <v>6081.72</v>
      </c>
    </row>
    <row r="36" spans="2:9" ht="12.75">
      <c r="B36" s="71" t="s">
        <v>260</v>
      </c>
      <c r="C36" s="1">
        <v>1946</v>
      </c>
      <c r="D36" s="10">
        <v>40468</v>
      </c>
      <c r="E36" t="s">
        <v>63</v>
      </c>
      <c r="F36" t="s">
        <v>64</v>
      </c>
      <c r="G36" s="3">
        <v>350</v>
      </c>
      <c r="I36" s="2">
        <f t="shared" si="1"/>
        <v>5731.72</v>
      </c>
    </row>
    <row r="37" spans="2:9" ht="12.75">
      <c r="B37" s="71" t="s">
        <v>28</v>
      </c>
      <c r="D37" s="10">
        <v>40470</v>
      </c>
      <c r="E37" t="s">
        <v>5</v>
      </c>
      <c r="F37" t="s">
        <v>62</v>
      </c>
      <c r="H37" s="3">
        <v>180</v>
      </c>
      <c r="I37" s="2">
        <f t="shared" si="1"/>
        <v>5911.72</v>
      </c>
    </row>
    <row r="38" spans="2:9" ht="12.75">
      <c r="B38" s="71" t="s">
        <v>56</v>
      </c>
      <c r="D38" s="10">
        <v>40470</v>
      </c>
      <c r="E38" t="s">
        <v>5</v>
      </c>
      <c r="F38" t="s">
        <v>58</v>
      </c>
      <c r="H38" s="3">
        <v>850</v>
      </c>
      <c r="I38" s="2">
        <f t="shared" si="1"/>
        <v>6761.72</v>
      </c>
    </row>
    <row r="39" spans="2:9" ht="12.75">
      <c r="B39" s="71" t="s">
        <v>68</v>
      </c>
      <c r="D39" s="10">
        <v>40470</v>
      </c>
      <c r="E39" t="s">
        <v>5</v>
      </c>
      <c r="F39" t="s">
        <v>66</v>
      </c>
      <c r="H39" s="3">
        <f>15+6.5+191.5+13+82+27+27+39+18.5+14+409+272+57.5+51.5+50.5+441+19.5+90.5+20.5+156.5+87.5+18.5+72+274+26+13+72.5+57.5+83+83+290+5.5+45+48+43.5+51.5+37+16.5+80+26+188+51.5+25+26+47+26+299+64.5+33+19.5+58.5+75+33.5+106+57+26+74.5+14+23+24+29+5.5+11+7.5+13+7.5+21.5+15+13+20.5+11+21.5+7.5+31.5+19.5+95.5+15+14+13+7.5+21.5+7.5+56+13+15+15+13+13+21.5+7.5+22.5+14+18.5+30+40+7.5+57+20.5+15+25+442+50.5+45.5+26+85.5+75+22+20.5+97+15+13+19.5+36.5+440+25+7.5+85+114+20.5+18+32.5+19.5+26+21.5+37.5+66.5+66.5+76+14+93.5+32.5+41+15+34.5+41+13+20.5+14+13+6.5+100+34.5+819+3.5+2</f>
        <v>8817</v>
      </c>
      <c r="I39" s="2">
        <f t="shared" si="1"/>
        <v>15578.720000000001</v>
      </c>
    </row>
    <row r="40" spans="2:9" ht="12.75">
      <c r="B40" s="71" t="s">
        <v>68</v>
      </c>
      <c r="C40" s="1">
        <v>1947</v>
      </c>
      <c r="D40" s="10">
        <v>40470</v>
      </c>
      <c r="E40" t="s">
        <v>65</v>
      </c>
      <c r="F40" t="s">
        <v>67</v>
      </c>
      <c r="G40" s="3">
        <v>4784.5</v>
      </c>
      <c r="I40" s="2">
        <f t="shared" si="1"/>
        <v>10794.220000000001</v>
      </c>
    </row>
    <row r="41" spans="2:11" ht="12.75">
      <c r="B41" s="71" t="s">
        <v>13</v>
      </c>
      <c r="D41" s="10">
        <v>40481</v>
      </c>
      <c r="E41" t="s">
        <v>51</v>
      </c>
      <c r="F41" t="s">
        <v>50</v>
      </c>
      <c r="G41" s="3">
        <v>12.5</v>
      </c>
      <c r="I41" s="3">
        <f t="shared" si="1"/>
        <v>10781.720000000001</v>
      </c>
      <c r="J41" s="2">
        <v>10981.72</v>
      </c>
      <c r="K41" s="25">
        <f>+J41-I41</f>
        <v>199.99999999999818</v>
      </c>
    </row>
    <row r="42" spans="2:12" ht="12.75">
      <c r="B42" s="71" t="s">
        <v>24</v>
      </c>
      <c r="D42" s="10">
        <v>40484</v>
      </c>
      <c r="E42" t="s">
        <v>5</v>
      </c>
      <c r="F42" t="s">
        <v>70</v>
      </c>
      <c r="H42" s="3">
        <f>100+100+30+100+100+200</f>
        <v>630</v>
      </c>
      <c r="I42" s="2">
        <f t="shared" si="1"/>
        <v>11411.720000000001</v>
      </c>
      <c r="J42" s="38" t="s">
        <v>123</v>
      </c>
      <c r="K42">
        <v>200</v>
      </c>
      <c r="L42">
        <v>1941</v>
      </c>
    </row>
    <row r="43" spans="2:9" ht="12.75">
      <c r="B43" s="71" t="s">
        <v>68</v>
      </c>
      <c r="D43" s="10">
        <v>40484</v>
      </c>
      <c r="E43" t="s">
        <v>5</v>
      </c>
      <c r="F43" t="s">
        <v>66</v>
      </c>
      <c r="H43" s="3">
        <f>13+19.5</f>
        <v>32.5</v>
      </c>
      <c r="I43" s="2">
        <f t="shared" si="1"/>
        <v>11444.220000000001</v>
      </c>
    </row>
    <row r="44" spans="2:9" ht="12.75">
      <c r="B44" s="71" t="s">
        <v>259</v>
      </c>
      <c r="D44" s="10">
        <v>40484</v>
      </c>
      <c r="E44" t="s">
        <v>5</v>
      </c>
      <c r="F44" t="s">
        <v>57</v>
      </c>
      <c r="H44" s="3">
        <f>45+45+45+45+45</f>
        <v>225</v>
      </c>
      <c r="I44" s="2">
        <f t="shared" si="1"/>
        <v>11669.220000000001</v>
      </c>
    </row>
    <row r="45" spans="2:9" ht="12.75">
      <c r="B45" s="71" t="s">
        <v>28</v>
      </c>
      <c r="D45" s="10">
        <v>40484</v>
      </c>
      <c r="E45" t="s">
        <v>5</v>
      </c>
      <c r="F45" t="s">
        <v>59</v>
      </c>
      <c r="H45" s="3">
        <f>25+12+12+12</f>
        <v>61</v>
      </c>
      <c r="I45" s="2">
        <f t="shared" si="1"/>
        <v>11730.220000000001</v>
      </c>
    </row>
    <row r="46" spans="2:9" ht="12.75">
      <c r="B46" s="71" t="s">
        <v>56</v>
      </c>
      <c r="D46" s="10">
        <v>40484</v>
      </c>
      <c r="E46" t="s">
        <v>5</v>
      </c>
      <c r="F46" t="s">
        <v>58</v>
      </c>
      <c r="H46" s="3">
        <f>125+75+250</f>
        <v>450</v>
      </c>
      <c r="I46" s="2">
        <f t="shared" si="1"/>
        <v>12180.220000000001</v>
      </c>
    </row>
    <row r="47" spans="2:9" ht="12.75">
      <c r="B47" s="71" t="s">
        <v>13</v>
      </c>
      <c r="C47" s="1">
        <v>1948</v>
      </c>
      <c r="D47" s="10">
        <v>40491</v>
      </c>
      <c r="E47" t="s">
        <v>83</v>
      </c>
      <c r="F47" t="s">
        <v>61</v>
      </c>
      <c r="G47" s="3">
        <v>20</v>
      </c>
      <c r="H47" s="26"/>
      <c r="I47" s="2">
        <f t="shared" si="1"/>
        <v>12160.220000000001</v>
      </c>
    </row>
    <row r="48" spans="2:9" ht="12.75">
      <c r="B48" s="71" t="s">
        <v>259</v>
      </c>
      <c r="D48" s="10">
        <v>40499</v>
      </c>
      <c r="E48" t="s">
        <v>5</v>
      </c>
      <c r="F48" t="s">
        <v>57</v>
      </c>
      <c r="H48" s="3">
        <v>45</v>
      </c>
      <c r="I48" s="2">
        <f t="shared" si="1"/>
        <v>12205.220000000001</v>
      </c>
    </row>
    <row r="49" spans="2:9" ht="12.75">
      <c r="B49" s="71" t="s">
        <v>68</v>
      </c>
      <c r="D49" s="10">
        <v>40499</v>
      </c>
      <c r="E49" t="s">
        <v>5</v>
      </c>
      <c r="F49" t="s">
        <v>66</v>
      </c>
      <c r="H49" s="3">
        <v>14.8</v>
      </c>
      <c r="I49" s="2">
        <f t="shared" si="1"/>
        <v>12220.02</v>
      </c>
    </row>
    <row r="50" spans="2:9" ht="12.75">
      <c r="B50" s="71" t="s">
        <v>24</v>
      </c>
      <c r="D50" s="10">
        <v>40499</v>
      </c>
      <c r="E50" t="s">
        <v>5</v>
      </c>
      <c r="F50" t="s">
        <v>70</v>
      </c>
      <c r="H50" s="3">
        <f>150+1200+150+400+160</f>
        <v>2060</v>
      </c>
      <c r="I50" s="2">
        <f t="shared" si="1"/>
        <v>14280.02</v>
      </c>
    </row>
    <row r="51" spans="2:9" ht="12.75">
      <c r="B51" s="71" t="s">
        <v>261</v>
      </c>
      <c r="D51" s="10">
        <v>40499</v>
      </c>
      <c r="E51" t="s">
        <v>5</v>
      </c>
      <c r="F51" t="s">
        <v>172</v>
      </c>
      <c r="H51" s="3">
        <v>141.08</v>
      </c>
      <c r="I51" s="2">
        <f t="shared" si="1"/>
        <v>14421.1</v>
      </c>
    </row>
    <row r="52" spans="2:9" ht="12.75">
      <c r="B52" s="71" t="s">
        <v>28</v>
      </c>
      <c r="D52" s="10">
        <v>40499</v>
      </c>
      <c r="E52" t="s">
        <v>5</v>
      </c>
      <c r="F52" t="s">
        <v>62</v>
      </c>
      <c r="H52" s="3">
        <f>62+12</f>
        <v>74</v>
      </c>
      <c r="I52" s="2">
        <f t="shared" si="1"/>
        <v>14495.1</v>
      </c>
    </row>
    <row r="53" spans="2:9" ht="12.75">
      <c r="B53" s="71" t="s">
        <v>24</v>
      </c>
      <c r="C53" s="1">
        <v>1949</v>
      </c>
      <c r="D53" s="10">
        <v>40499</v>
      </c>
      <c r="E53" t="s">
        <v>80</v>
      </c>
      <c r="F53" t="s">
        <v>81</v>
      </c>
      <c r="G53" s="3">
        <v>670</v>
      </c>
      <c r="I53" s="2">
        <f t="shared" si="1"/>
        <v>13825.1</v>
      </c>
    </row>
    <row r="54" spans="2:11" ht="12.75">
      <c r="B54" s="71" t="s">
        <v>68</v>
      </c>
      <c r="D54" s="10">
        <v>40505</v>
      </c>
      <c r="E54" t="s">
        <v>5</v>
      </c>
      <c r="F54" t="s">
        <v>66</v>
      </c>
      <c r="H54" s="3">
        <v>673</v>
      </c>
      <c r="I54" s="26">
        <f t="shared" si="1"/>
        <v>14498.1</v>
      </c>
      <c r="K54" s="25"/>
    </row>
    <row r="55" spans="2:11" ht="12.75">
      <c r="B55" s="71" t="s">
        <v>13</v>
      </c>
      <c r="D55" s="10">
        <v>40512</v>
      </c>
      <c r="E55" t="s">
        <v>51</v>
      </c>
      <c r="F55" t="s">
        <v>50</v>
      </c>
      <c r="G55" s="3">
        <v>12.5</v>
      </c>
      <c r="I55" s="3">
        <f t="shared" si="1"/>
        <v>14485.6</v>
      </c>
      <c r="J55" s="2">
        <v>14485.6</v>
      </c>
      <c r="K55" s="25">
        <f>+J55-I55</f>
        <v>0</v>
      </c>
    </row>
    <row r="56" spans="2:9" ht="12.75">
      <c r="B56" s="71" t="s">
        <v>24</v>
      </c>
      <c r="C56" s="1">
        <v>1950</v>
      </c>
      <c r="D56" s="10">
        <v>40512</v>
      </c>
      <c r="E56" t="s">
        <v>80</v>
      </c>
      <c r="F56" t="s">
        <v>82</v>
      </c>
      <c r="G56" s="3">
        <v>256</v>
      </c>
      <c r="I56" s="2">
        <f t="shared" si="1"/>
        <v>14229.6</v>
      </c>
    </row>
    <row r="57" spans="2:10" ht="12.75">
      <c r="B57" s="71" t="s">
        <v>84</v>
      </c>
      <c r="C57" s="1">
        <v>1951</v>
      </c>
      <c r="D57" s="10">
        <v>40513</v>
      </c>
      <c r="E57" t="s">
        <v>85</v>
      </c>
      <c r="F57" t="s">
        <v>86</v>
      </c>
      <c r="G57" s="3">
        <v>1822.8</v>
      </c>
      <c r="I57" s="2">
        <f t="shared" si="1"/>
        <v>12406.800000000001</v>
      </c>
      <c r="J57" s="38"/>
    </row>
    <row r="58" spans="2:9" ht="12.75">
      <c r="B58" s="71" t="s">
        <v>259</v>
      </c>
      <c r="C58" s="1">
        <v>1952</v>
      </c>
      <c r="D58" s="10">
        <v>40514</v>
      </c>
      <c r="E58" t="s">
        <v>87</v>
      </c>
      <c r="F58" t="s">
        <v>88</v>
      </c>
      <c r="G58" s="3">
        <v>912.45</v>
      </c>
      <c r="I58" s="2">
        <f t="shared" si="1"/>
        <v>11494.35</v>
      </c>
    </row>
    <row r="59" spans="2:9" ht="12.75">
      <c r="B59" s="71" t="s">
        <v>24</v>
      </c>
      <c r="C59" s="1">
        <v>1953</v>
      </c>
      <c r="D59" s="10">
        <v>40515</v>
      </c>
      <c r="E59" t="s">
        <v>89</v>
      </c>
      <c r="F59" t="s">
        <v>99</v>
      </c>
      <c r="G59" s="3">
        <v>35.99</v>
      </c>
      <c r="I59" s="2">
        <f t="shared" si="1"/>
        <v>11458.36</v>
      </c>
    </row>
    <row r="60" spans="2:9" ht="12.75">
      <c r="B60" s="71" t="s">
        <v>92</v>
      </c>
      <c r="C60" s="1">
        <v>1954</v>
      </c>
      <c r="D60" s="10">
        <v>40515</v>
      </c>
      <c r="E60" t="s">
        <v>90</v>
      </c>
      <c r="F60" t="s">
        <v>100</v>
      </c>
      <c r="G60" s="2">
        <v>41.14</v>
      </c>
      <c r="I60" s="2">
        <f t="shared" si="1"/>
        <v>11417.220000000001</v>
      </c>
    </row>
    <row r="61" spans="2:9" ht="12.75">
      <c r="B61" s="71" t="s">
        <v>24</v>
      </c>
      <c r="C61" s="1">
        <v>1955</v>
      </c>
      <c r="D61" s="10">
        <v>40515</v>
      </c>
      <c r="E61" t="s">
        <v>91</v>
      </c>
      <c r="F61" t="s">
        <v>99</v>
      </c>
      <c r="G61" s="3">
        <f>21.45+22.98+52.41</f>
        <v>96.84</v>
      </c>
      <c r="I61" s="2">
        <f t="shared" si="1"/>
        <v>11320.380000000001</v>
      </c>
    </row>
    <row r="62" spans="2:9" ht="12.75">
      <c r="B62" s="71" t="s">
        <v>24</v>
      </c>
      <c r="D62" s="10">
        <v>40519</v>
      </c>
      <c r="E62" t="s">
        <v>5</v>
      </c>
      <c r="F62" t="s">
        <v>103</v>
      </c>
      <c r="H62" s="3">
        <f>500+60+200+75+600+50+280+30+100+100+100+330+200+500+60+20+45+100+60+30+28+20+18+2.5+88+10+56+25+45+7+43+67+28+25+50+56+25+106+50+10+52.5+45+53+25+58+35+30+58+30+132+30+28+57+28+84+56+33+15+33+56+71+63+100+99+140+58+58+25+15+53+100+50+112+25+84+126+25+38+25+61+38+76+81+28+25+45+28+32+28+20+10+25+25+20+94+44+40+28+65+20+137+25+28+53+30+30+48+48+56+111+52+20+49+28+70+20+28+23+56+20+20+15+53+72+70+10+30+56+48+28+25+10+15+16+40+25+66+33+25+83+28+30+40+25+28+25+25+25+73+25+72+47+25+200+356+30+28+38+83+25+67+4662.5</f>
        <v>14867.5</v>
      </c>
      <c r="I62" s="2">
        <f t="shared" si="1"/>
        <v>26187.88</v>
      </c>
    </row>
    <row r="63" spans="2:9" ht="12.75">
      <c r="B63" s="71" t="s">
        <v>68</v>
      </c>
      <c r="D63" s="10">
        <v>40519</v>
      </c>
      <c r="E63" t="s">
        <v>5</v>
      </c>
      <c r="F63" t="s">
        <v>66</v>
      </c>
      <c r="H63" s="3">
        <f>19.5+13</f>
        <v>32.5</v>
      </c>
      <c r="I63" s="2">
        <f t="shared" si="1"/>
        <v>26220.38</v>
      </c>
    </row>
    <row r="64" spans="2:9" ht="12.75">
      <c r="B64" s="71" t="s">
        <v>24</v>
      </c>
      <c r="C64" s="1">
        <v>1956</v>
      </c>
      <c r="D64" s="10">
        <v>40516</v>
      </c>
      <c r="E64" t="s">
        <v>93</v>
      </c>
      <c r="F64" t="s">
        <v>94</v>
      </c>
      <c r="G64" s="3">
        <v>390</v>
      </c>
      <c r="I64" s="2">
        <f t="shared" si="1"/>
        <v>25830.38</v>
      </c>
    </row>
    <row r="65" spans="2:9" ht="12.75">
      <c r="B65" s="71" t="s">
        <v>24</v>
      </c>
      <c r="C65" s="1">
        <v>1957</v>
      </c>
      <c r="D65" s="10">
        <v>40516</v>
      </c>
      <c r="E65" t="s">
        <v>95</v>
      </c>
      <c r="F65" t="s">
        <v>96</v>
      </c>
      <c r="G65" s="3">
        <v>500</v>
      </c>
      <c r="I65" s="2">
        <f t="shared" si="1"/>
        <v>25330.38</v>
      </c>
    </row>
    <row r="66" spans="2:9" ht="12.75">
      <c r="B66" s="71" t="s">
        <v>24</v>
      </c>
      <c r="C66" s="1">
        <v>1958</v>
      </c>
      <c r="D66" s="10">
        <v>40516</v>
      </c>
      <c r="E66" t="s">
        <v>97</v>
      </c>
      <c r="F66" t="s">
        <v>98</v>
      </c>
      <c r="G66" s="3">
        <v>2801</v>
      </c>
      <c r="I66" s="2">
        <f t="shared" si="1"/>
        <v>22529.38</v>
      </c>
    </row>
    <row r="67" spans="2:9" ht="12.75">
      <c r="B67" s="71" t="s">
        <v>24</v>
      </c>
      <c r="C67" s="1">
        <v>1959</v>
      </c>
      <c r="D67" s="10">
        <v>40520</v>
      </c>
      <c r="E67" t="s">
        <v>91</v>
      </c>
      <c r="F67" t="s">
        <v>99</v>
      </c>
      <c r="G67" s="3">
        <f>17.56+83.29+66.35+2.79+27.96</f>
        <v>197.95</v>
      </c>
      <c r="I67" s="2">
        <f t="shared" si="1"/>
        <v>22331.43</v>
      </c>
    </row>
    <row r="68" spans="2:9" ht="12.75">
      <c r="B68" s="71" t="s">
        <v>24</v>
      </c>
      <c r="C68" s="1">
        <v>1960</v>
      </c>
      <c r="D68" s="10">
        <v>40520</v>
      </c>
      <c r="E68" t="s">
        <v>101</v>
      </c>
      <c r="F68" t="s">
        <v>102</v>
      </c>
      <c r="G68" s="3">
        <f>8.5*11.75</f>
        <v>99.875</v>
      </c>
      <c r="I68" s="2">
        <f t="shared" si="1"/>
        <v>22231.555</v>
      </c>
    </row>
    <row r="69" spans="2:9" ht="12.75">
      <c r="B69" s="71" t="s">
        <v>24</v>
      </c>
      <c r="D69" s="10">
        <v>40526</v>
      </c>
      <c r="E69" t="s">
        <v>5</v>
      </c>
      <c r="F69" t="s">
        <v>70</v>
      </c>
      <c r="H69" s="3">
        <v>225</v>
      </c>
      <c r="I69" s="2">
        <f t="shared" si="1"/>
        <v>22456.555</v>
      </c>
    </row>
    <row r="70" spans="2:9" ht="12.75">
      <c r="B70" s="71" t="s">
        <v>28</v>
      </c>
      <c r="D70" s="10">
        <v>40526</v>
      </c>
      <c r="E70" t="s">
        <v>5</v>
      </c>
      <c r="F70" t="s">
        <v>62</v>
      </c>
      <c r="H70" s="3">
        <v>36</v>
      </c>
      <c r="I70" s="2">
        <f t="shared" si="1"/>
        <v>22492.555</v>
      </c>
    </row>
    <row r="71" spans="2:9" ht="12.75">
      <c r="B71" s="71" t="s">
        <v>92</v>
      </c>
      <c r="D71" s="10">
        <v>40526</v>
      </c>
      <c r="E71" t="s">
        <v>117</v>
      </c>
      <c r="F71" t="s">
        <v>108</v>
      </c>
      <c r="H71" s="3">
        <f>9.5+4+20+26+9+16+14+14+40+12+12+12+16+100+1320+210+100+2+24+10+6.5-40-36</f>
        <v>1901</v>
      </c>
      <c r="I71" s="2">
        <f t="shared" si="1"/>
        <v>24393.555</v>
      </c>
    </row>
    <row r="72" spans="2:9" ht="12.75">
      <c r="B72" s="71" t="s">
        <v>28</v>
      </c>
      <c r="D72" s="10"/>
      <c r="E72" t="s">
        <v>117</v>
      </c>
      <c r="F72" t="s">
        <v>62</v>
      </c>
      <c r="H72" s="3">
        <v>36</v>
      </c>
      <c r="I72" s="2">
        <f t="shared" si="1"/>
        <v>24429.555</v>
      </c>
    </row>
    <row r="73" spans="2:9" ht="12.75">
      <c r="B73" s="71" t="s">
        <v>24</v>
      </c>
      <c r="D73" s="10"/>
      <c r="E73" t="s">
        <v>117</v>
      </c>
      <c r="F73" t="s">
        <v>118</v>
      </c>
      <c r="H73" s="3">
        <v>40</v>
      </c>
      <c r="I73" s="2">
        <f t="shared" si="1"/>
        <v>24469.555</v>
      </c>
    </row>
    <row r="74" spans="2:9" ht="12.75">
      <c r="B74" s="71" t="s">
        <v>24</v>
      </c>
      <c r="C74" s="1">
        <v>1961</v>
      </c>
      <c r="D74" s="10">
        <v>40520</v>
      </c>
      <c r="E74" t="s">
        <v>115</v>
      </c>
      <c r="F74" t="s">
        <v>109</v>
      </c>
      <c r="G74" s="2">
        <v>7.5</v>
      </c>
      <c r="I74" s="2">
        <f t="shared" si="1"/>
        <v>24462.055</v>
      </c>
    </row>
    <row r="75" spans="2:9" ht="12.75">
      <c r="B75" s="71" t="s">
        <v>35</v>
      </c>
      <c r="C75" s="1">
        <v>1962</v>
      </c>
      <c r="D75" s="10">
        <v>40525</v>
      </c>
      <c r="E75" t="s">
        <v>110</v>
      </c>
      <c r="F75" t="s">
        <v>111</v>
      </c>
      <c r="G75" s="3">
        <v>497</v>
      </c>
      <c r="I75" s="2">
        <f t="shared" si="1"/>
        <v>23965.055</v>
      </c>
    </row>
    <row r="76" spans="2:9" ht="12.75">
      <c r="B76" s="71" t="s">
        <v>24</v>
      </c>
      <c r="C76" s="1">
        <v>1963</v>
      </c>
      <c r="D76" s="10">
        <v>40529</v>
      </c>
      <c r="E76" t="s">
        <v>112</v>
      </c>
      <c r="F76" t="s">
        <v>99</v>
      </c>
      <c r="G76" s="3">
        <v>27</v>
      </c>
      <c r="I76" s="2">
        <f t="shared" si="1"/>
        <v>23938.055</v>
      </c>
    </row>
    <row r="77" spans="2:9" ht="12.75">
      <c r="B77" s="71" t="s">
        <v>24</v>
      </c>
      <c r="C77" s="1">
        <v>1964</v>
      </c>
      <c r="D77" s="10">
        <v>40529</v>
      </c>
      <c r="E77" t="s">
        <v>113</v>
      </c>
      <c r="F77" t="s">
        <v>99</v>
      </c>
      <c r="G77" s="3">
        <v>21.64</v>
      </c>
      <c r="I77" s="2">
        <f t="shared" si="1"/>
        <v>23916.415</v>
      </c>
    </row>
    <row r="78" spans="2:9" ht="12.75">
      <c r="B78" s="71" t="s">
        <v>24</v>
      </c>
      <c r="C78" s="1">
        <v>1965</v>
      </c>
      <c r="D78" s="10">
        <v>40529</v>
      </c>
      <c r="E78" t="s">
        <v>80</v>
      </c>
      <c r="F78" t="s">
        <v>99</v>
      </c>
      <c r="G78" s="2">
        <v>117.99</v>
      </c>
      <c r="I78" s="2">
        <f t="shared" si="1"/>
        <v>23798.425</v>
      </c>
    </row>
    <row r="79" spans="2:9" ht="12.75">
      <c r="B79" s="71" t="s">
        <v>24</v>
      </c>
      <c r="C79" s="1">
        <v>1966</v>
      </c>
      <c r="D79" s="10">
        <v>40529</v>
      </c>
      <c r="E79" t="s">
        <v>116</v>
      </c>
      <c r="F79" t="s">
        <v>114</v>
      </c>
      <c r="G79" s="3">
        <f>46*5</f>
        <v>230</v>
      </c>
      <c r="I79" s="2">
        <f t="shared" si="1"/>
        <v>23568.425</v>
      </c>
    </row>
    <row r="80" spans="2:9" ht="12.75">
      <c r="B80" s="71" t="s">
        <v>35</v>
      </c>
      <c r="D80" s="10">
        <v>40534</v>
      </c>
      <c r="E80" t="s">
        <v>5</v>
      </c>
      <c r="H80" s="3">
        <v>200</v>
      </c>
      <c r="I80" s="2">
        <f t="shared" si="1"/>
        <v>23768.425</v>
      </c>
    </row>
    <row r="81" spans="2:9" ht="12.75">
      <c r="B81" s="71" t="s">
        <v>24</v>
      </c>
      <c r="D81" s="10">
        <v>40534</v>
      </c>
      <c r="E81" t="s">
        <v>5</v>
      </c>
      <c r="H81" s="3">
        <v>7</v>
      </c>
      <c r="I81" s="2">
        <f t="shared" si="1"/>
        <v>23775.425</v>
      </c>
    </row>
    <row r="82" spans="2:9" ht="12.75">
      <c r="B82" s="71" t="s">
        <v>119</v>
      </c>
      <c r="C82" s="1">
        <v>1967</v>
      </c>
      <c r="E82" t="s">
        <v>120</v>
      </c>
      <c r="F82" t="s">
        <v>121</v>
      </c>
      <c r="G82" s="3">
        <v>506.25</v>
      </c>
      <c r="I82" s="2">
        <f t="shared" si="1"/>
        <v>23269.175</v>
      </c>
    </row>
    <row r="83" spans="2:11" ht="12.75">
      <c r="B83" s="71" t="s">
        <v>13</v>
      </c>
      <c r="D83" s="10">
        <v>40542</v>
      </c>
      <c r="E83" t="s">
        <v>51</v>
      </c>
      <c r="F83" t="s">
        <v>50</v>
      </c>
      <c r="G83" s="3">
        <v>12.5</v>
      </c>
      <c r="I83" s="3">
        <f t="shared" si="1"/>
        <v>23256.675</v>
      </c>
      <c r="J83" s="2">
        <v>23423.3</v>
      </c>
      <c r="K83" s="25">
        <f>+J83-I83</f>
        <v>166.625</v>
      </c>
    </row>
    <row r="84" spans="2:12" ht="12.75">
      <c r="B84" s="71"/>
      <c r="C84" s="30"/>
      <c r="D84" s="30"/>
      <c r="E84" s="31"/>
      <c r="F84" s="31" t="s">
        <v>126</v>
      </c>
      <c r="G84" s="32"/>
      <c r="H84" s="32"/>
      <c r="I84" s="32">
        <f t="shared" si="1"/>
        <v>23256.675</v>
      </c>
      <c r="J84" s="2" t="s">
        <v>123</v>
      </c>
      <c r="K84">
        <v>1965</v>
      </c>
      <c r="L84" s="25">
        <f>+G78</f>
        <v>117.99</v>
      </c>
    </row>
    <row r="85" spans="2:12" ht="12.75">
      <c r="B85" s="71" t="s">
        <v>26</v>
      </c>
      <c r="D85" s="10">
        <v>40561</v>
      </c>
      <c r="E85" t="s">
        <v>5</v>
      </c>
      <c r="F85" t="s">
        <v>127</v>
      </c>
      <c r="H85" s="3">
        <v>1306.1</v>
      </c>
      <c r="I85" s="2">
        <f t="shared" si="1"/>
        <v>24562.774999999998</v>
      </c>
      <c r="K85">
        <v>1954</v>
      </c>
      <c r="L85" s="36">
        <f>+G60</f>
        <v>41.14</v>
      </c>
    </row>
    <row r="86" spans="2:12" ht="12.75">
      <c r="B86" s="71" t="s">
        <v>25</v>
      </c>
      <c r="D86" s="10">
        <v>40561</v>
      </c>
      <c r="E86" t="s">
        <v>5</v>
      </c>
      <c r="F86" t="s">
        <v>128</v>
      </c>
      <c r="H86" s="3">
        <f>500+100+15+60+70</f>
        <v>745</v>
      </c>
      <c r="I86" s="2">
        <f t="shared" si="1"/>
        <v>25307.774999999998</v>
      </c>
      <c r="K86">
        <v>1961</v>
      </c>
      <c r="L86" s="37">
        <f>+G74</f>
        <v>7.5</v>
      </c>
    </row>
    <row r="87" spans="2:12" ht="12.75">
      <c r="B87" s="71" t="s">
        <v>92</v>
      </c>
      <c r="C87" s="1">
        <v>1968</v>
      </c>
      <c r="D87" s="10">
        <v>40561</v>
      </c>
      <c r="E87" t="s">
        <v>0</v>
      </c>
      <c r="F87" t="s">
        <v>129</v>
      </c>
      <c r="G87" s="3">
        <v>20</v>
      </c>
      <c r="I87" s="2">
        <f t="shared" si="1"/>
        <v>25287.774999999998</v>
      </c>
      <c r="L87" s="25">
        <f>SUM(L84:L86)</f>
        <v>166.63</v>
      </c>
    </row>
    <row r="88" spans="2:12" ht="12.75">
      <c r="B88" s="71" t="s">
        <v>13</v>
      </c>
      <c r="D88" s="10">
        <v>40573</v>
      </c>
      <c r="E88" t="s">
        <v>50</v>
      </c>
      <c r="G88" s="3">
        <v>12.5</v>
      </c>
      <c r="I88" s="3">
        <f t="shared" si="1"/>
        <v>25275.274999999998</v>
      </c>
      <c r="J88" s="2">
        <v>25393.26</v>
      </c>
      <c r="K88" s="25">
        <f>+J88-I88</f>
        <v>117.98500000000058</v>
      </c>
      <c r="L88" s="25"/>
    </row>
    <row r="89" spans="2:12" ht="12.75">
      <c r="B89" s="71" t="s">
        <v>92</v>
      </c>
      <c r="D89" s="10">
        <v>40592</v>
      </c>
      <c r="E89" t="s">
        <v>5</v>
      </c>
      <c r="F89" t="s">
        <v>135</v>
      </c>
      <c r="H89" s="3">
        <v>478.2</v>
      </c>
      <c r="I89" s="2">
        <f t="shared" si="1"/>
        <v>25753.475</v>
      </c>
      <c r="K89">
        <v>1965</v>
      </c>
      <c r="L89" s="25">
        <v>117.99</v>
      </c>
    </row>
    <row r="90" spans="2:9" ht="12.75">
      <c r="B90" s="71" t="s">
        <v>28</v>
      </c>
      <c r="D90" s="10">
        <v>40592</v>
      </c>
      <c r="E90" t="s">
        <v>5</v>
      </c>
      <c r="F90" t="s">
        <v>62</v>
      </c>
      <c r="H90" s="3">
        <v>48</v>
      </c>
      <c r="I90" s="2">
        <f>+I89-G90+H90</f>
        <v>25801.475</v>
      </c>
    </row>
    <row r="91" spans="2:9" ht="12.75">
      <c r="B91" s="71" t="s">
        <v>56</v>
      </c>
      <c r="D91" s="10">
        <v>40592</v>
      </c>
      <c r="E91" t="s">
        <v>5</v>
      </c>
      <c r="F91" t="s">
        <v>58</v>
      </c>
      <c r="H91" s="3">
        <v>125</v>
      </c>
      <c r="I91" s="2">
        <f>+I90-G91+H91</f>
        <v>25926.475</v>
      </c>
    </row>
    <row r="92" spans="2:9" ht="12.75">
      <c r="B92" s="71" t="s">
        <v>25</v>
      </c>
      <c r="D92" s="10">
        <v>40592</v>
      </c>
      <c r="E92" t="s">
        <v>5</v>
      </c>
      <c r="F92" t="s">
        <v>25</v>
      </c>
      <c r="H92" s="3">
        <f>250+20+40+15+20+15+15+15+180+50+250+30+20+55+15+50+40+40+40+55+20+20+20+40+20+20+40+50+40+15+20+20+20+500+250+72.46+750+250+500+500+220</f>
        <v>4602.46</v>
      </c>
      <c r="I92" s="2">
        <f>+I91-G92+H92</f>
        <v>30528.934999999998</v>
      </c>
    </row>
    <row r="93" spans="2:9" ht="12.75">
      <c r="B93" s="71" t="s">
        <v>92</v>
      </c>
      <c r="C93" s="1">
        <v>1969</v>
      </c>
      <c r="D93" s="10">
        <v>40582</v>
      </c>
      <c r="E93" t="s">
        <v>0</v>
      </c>
      <c r="F93" t="s">
        <v>136</v>
      </c>
      <c r="G93" s="3">
        <v>100</v>
      </c>
      <c r="I93" s="2">
        <f>+I92-G93+H93</f>
        <v>30428.934999999998</v>
      </c>
    </row>
    <row r="94" spans="2:9" ht="12.75">
      <c r="B94" s="71" t="s">
        <v>13</v>
      </c>
      <c r="C94" s="1">
        <v>1970</v>
      </c>
      <c r="D94" s="10">
        <v>40582</v>
      </c>
      <c r="E94" t="s">
        <v>9</v>
      </c>
      <c r="G94" s="3">
        <v>0</v>
      </c>
      <c r="I94" s="2">
        <f aca="true" t="shared" si="2" ref="I94:I163">+I93-G94+H94</f>
        <v>30428.934999999998</v>
      </c>
    </row>
    <row r="95" spans="2:9" ht="12.75">
      <c r="B95" s="71" t="s">
        <v>13</v>
      </c>
      <c r="C95" s="1">
        <v>1971</v>
      </c>
      <c r="D95" s="10">
        <v>40582</v>
      </c>
      <c r="E95" t="s">
        <v>60</v>
      </c>
      <c r="F95" t="s">
        <v>61</v>
      </c>
      <c r="G95" s="3">
        <v>25</v>
      </c>
      <c r="I95" s="2">
        <f t="shared" si="2"/>
        <v>30403.934999999998</v>
      </c>
    </row>
    <row r="96" spans="2:9" ht="12.75">
      <c r="B96" s="71" t="s">
        <v>68</v>
      </c>
      <c r="C96" s="1">
        <v>1972</v>
      </c>
      <c r="D96" s="10">
        <v>40582</v>
      </c>
      <c r="E96" t="s">
        <v>60</v>
      </c>
      <c r="F96" t="s">
        <v>137</v>
      </c>
      <c r="G96" s="3">
        <v>244.8</v>
      </c>
      <c r="I96" s="2">
        <f t="shared" si="2"/>
        <v>30159.135</v>
      </c>
    </row>
    <row r="97" spans="2:9" ht="12.75">
      <c r="B97" s="71" t="s">
        <v>13</v>
      </c>
      <c r="C97" s="1">
        <v>1973</v>
      </c>
      <c r="D97" s="10">
        <v>40582</v>
      </c>
      <c r="E97" t="s">
        <v>138</v>
      </c>
      <c r="F97" t="s">
        <v>139</v>
      </c>
      <c r="G97" s="2">
        <v>20</v>
      </c>
      <c r="I97" s="2">
        <f t="shared" si="2"/>
        <v>30139.135</v>
      </c>
    </row>
    <row r="98" spans="2:9" ht="12.75">
      <c r="B98" s="71" t="s">
        <v>13</v>
      </c>
      <c r="C98" s="1">
        <v>1974</v>
      </c>
      <c r="G98" s="3">
        <f>42.75+8+8</f>
        <v>58.75</v>
      </c>
      <c r="I98" s="2">
        <f t="shared" si="2"/>
        <v>30080.385</v>
      </c>
    </row>
    <row r="99" spans="2:9" ht="12.75">
      <c r="B99" s="71" t="s">
        <v>13</v>
      </c>
      <c r="C99" s="1">
        <v>1975</v>
      </c>
      <c r="D99" s="10">
        <v>40588</v>
      </c>
      <c r="E99" t="s">
        <v>140</v>
      </c>
      <c r="F99" t="s">
        <v>141</v>
      </c>
      <c r="G99" s="3">
        <v>138.13</v>
      </c>
      <c r="I99" s="2">
        <f t="shared" si="2"/>
        <v>29942.254999999997</v>
      </c>
    </row>
    <row r="100" spans="2:9" ht="12.75">
      <c r="B100" s="71" t="s">
        <v>13</v>
      </c>
      <c r="C100" s="1">
        <v>1976</v>
      </c>
      <c r="E100" t="s">
        <v>147</v>
      </c>
      <c r="G100" s="2">
        <v>0</v>
      </c>
      <c r="I100" s="2">
        <f t="shared" si="2"/>
        <v>29942.254999999997</v>
      </c>
    </row>
    <row r="101" spans="2:9" ht="12.75">
      <c r="B101" s="71" t="s">
        <v>25</v>
      </c>
      <c r="C101" s="1">
        <v>1977</v>
      </c>
      <c r="D101" s="10">
        <v>40596</v>
      </c>
      <c r="E101" t="s">
        <v>142</v>
      </c>
      <c r="F101" t="s">
        <v>143</v>
      </c>
      <c r="G101" s="3">
        <v>1001.5</v>
      </c>
      <c r="I101" s="2">
        <f t="shared" si="2"/>
        <v>28940.754999999997</v>
      </c>
    </row>
    <row r="102" spans="2:9" ht="12.75">
      <c r="B102" s="71" t="s">
        <v>84</v>
      </c>
      <c r="C102" s="1">
        <v>1978</v>
      </c>
      <c r="D102" s="10">
        <v>40598</v>
      </c>
      <c r="E102" t="s">
        <v>85</v>
      </c>
      <c r="F102" t="s">
        <v>144</v>
      </c>
      <c r="G102" s="2">
        <v>1822.8</v>
      </c>
      <c r="I102" s="2">
        <f t="shared" si="2"/>
        <v>27117.954999999998</v>
      </c>
    </row>
    <row r="103" spans="2:9" ht="12.75">
      <c r="B103" s="71" t="s">
        <v>25</v>
      </c>
      <c r="C103" s="1">
        <v>1979</v>
      </c>
      <c r="D103" s="10">
        <v>40598</v>
      </c>
      <c r="E103" t="s">
        <v>145</v>
      </c>
      <c r="F103" t="s">
        <v>146</v>
      </c>
      <c r="G103" s="3">
        <v>323.8</v>
      </c>
      <c r="I103" s="2">
        <f t="shared" si="2"/>
        <v>26794.155</v>
      </c>
    </row>
    <row r="104" spans="2:9" ht="12.75">
      <c r="B104" s="71" t="s">
        <v>25</v>
      </c>
      <c r="C104" s="1">
        <v>1980</v>
      </c>
      <c r="D104" s="10">
        <v>40599</v>
      </c>
      <c r="E104" t="s">
        <v>149</v>
      </c>
      <c r="F104" t="s">
        <v>148</v>
      </c>
      <c r="G104" s="2">
        <v>600</v>
      </c>
      <c r="I104" s="2">
        <f t="shared" si="2"/>
        <v>26194.155</v>
      </c>
    </row>
    <row r="105" spans="2:11" ht="12.75">
      <c r="B105" s="71" t="s">
        <v>13</v>
      </c>
      <c r="D105" s="10">
        <v>40602</v>
      </c>
      <c r="E105" t="s">
        <v>50</v>
      </c>
      <c r="G105" s="3">
        <v>12.5</v>
      </c>
      <c r="I105" s="3">
        <f t="shared" si="2"/>
        <v>26181.655</v>
      </c>
      <c r="J105" s="2">
        <v>28742.44</v>
      </c>
      <c r="K105" s="25">
        <f>+J105-I105</f>
        <v>2560.785</v>
      </c>
    </row>
    <row r="106" spans="2:12" ht="12.75">
      <c r="B106" s="71" t="s">
        <v>25</v>
      </c>
      <c r="D106" s="10">
        <v>40603</v>
      </c>
      <c r="E106" t="s">
        <v>5</v>
      </c>
      <c r="F106" t="s">
        <v>25</v>
      </c>
      <c r="H106" s="2">
        <f>20+25+35+25+45+25+20+85+25+25+100+25+25+35+50+25+25+20+25+75+45+25+20+25+25+25+20+45+50+75+20+20+35+20+15+35+40+60+40+35+20+15+20+100+25+50+25+50+100+25+25+150+250+695</f>
        <v>2960</v>
      </c>
      <c r="I106" s="2">
        <f t="shared" si="2"/>
        <v>29141.655</v>
      </c>
      <c r="K106">
        <v>1965</v>
      </c>
      <c r="L106" s="36">
        <f>+G78</f>
        <v>117.99</v>
      </c>
    </row>
    <row r="107" spans="2:12" ht="12.75">
      <c r="B107" s="71" t="s">
        <v>25</v>
      </c>
      <c r="C107" s="1">
        <v>1981</v>
      </c>
      <c r="D107" s="10">
        <v>40603</v>
      </c>
      <c r="E107" t="s">
        <v>150</v>
      </c>
      <c r="F107" t="s">
        <v>152</v>
      </c>
      <c r="G107" s="3">
        <v>50</v>
      </c>
      <c r="I107" s="2">
        <f t="shared" si="2"/>
        <v>29091.655</v>
      </c>
      <c r="K107">
        <v>1973</v>
      </c>
      <c r="L107" s="25">
        <f>+G97</f>
        <v>20</v>
      </c>
    </row>
    <row r="108" spans="2:12" ht="12.75">
      <c r="B108" s="71" t="s">
        <v>25</v>
      </c>
      <c r="C108" s="1">
        <v>1982</v>
      </c>
      <c r="D108" s="10">
        <v>40603</v>
      </c>
      <c r="E108" t="s">
        <v>151</v>
      </c>
      <c r="F108" t="s">
        <v>152</v>
      </c>
      <c r="G108" s="3">
        <v>344</v>
      </c>
      <c r="I108" s="2">
        <f t="shared" si="2"/>
        <v>28747.655</v>
      </c>
      <c r="K108">
        <v>1978</v>
      </c>
      <c r="L108" s="36">
        <f>+G102</f>
        <v>1822.8</v>
      </c>
    </row>
    <row r="109" spans="2:12" ht="12.75">
      <c r="B109" s="71" t="s">
        <v>13</v>
      </c>
      <c r="C109" s="1">
        <v>1983</v>
      </c>
      <c r="D109" s="10">
        <v>40610</v>
      </c>
      <c r="E109" t="s">
        <v>47</v>
      </c>
      <c r="F109" t="s">
        <v>157</v>
      </c>
      <c r="G109" s="3">
        <v>49.96</v>
      </c>
      <c r="I109" s="2">
        <f t="shared" si="2"/>
        <v>28697.695</v>
      </c>
      <c r="K109">
        <v>1980</v>
      </c>
      <c r="L109" s="37">
        <f>+G104</f>
        <v>600</v>
      </c>
    </row>
    <row r="110" spans="2:12" ht="12.75">
      <c r="B110" s="71" t="s">
        <v>25</v>
      </c>
      <c r="C110" s="1">
        <v>1984</v>
      </c>
      <c r="D110" s="10">
        <v>40610</v>
      </c>
      <c r="E110" t="s">
        <v>158</v>
      </c>
      <c r="F110" t="s">
        <v>159</v>
      </c>
      <c r="G110" s="3">
        <v>1500</v>
      </c>
      <c r="I110" s="2">
        <f t="shared" si="2"/>
        <v>27197.695</v>
      </c>
      <c r="L110" s="25">
        <f>SUM(L106:L109)</f>
        <v>2560.79</v>
      </c>
    </row>
    <row r="111" spans="2:9" ht="12.75">
      <c r="B111" s="71" t="s">
        <v>13</v>
      </c>
      <c r="C111" s="1">
        <v>1985</v>
      </c>
      <c r="D111" s="10">
        <v>40610</v>
      </c>
      <c r="E111" t="s">
        <v>89</v>
      </c>
      <c r="F111" t="s">
        <v>160</v>
      </c>
      <c r="G111" s="3">
        <v>14.77</v>
      </c>
      <c r="I111" s="2">
        <f t="shared" si="2"/>
        <v>27182.925</v>
      </c>
    </row>
    <row r="112" spans="2:9" ht="12.75">
      <c r="B112" s="71" t="s">
        <v>13</v>
      </c>
      <c r="C112" s="1">
        <v>1986</v>
      </c>
      <c r="D112" s="10">
        <v>40610</v>
      </c>
      <c r="E112" t="s">
        <v>138</v>
      </c>
      <c r="F112" t="s">
        <v>161</v>
      </c>
      <c r="G112" s="2">
        <v>20</v>
      </c>
      <c r="I112" s="2">
        <f t="shared" si="2"/>
        <v>27162.925</v>
      </c>
    </row>
    <row r="113" spans="2:9" ht="12.75">
      <c r="B113" s="71" t="s">
        <v>25</v>
      </c>
      <c r="C113" s="1">
        <v>1987</v>
      </c>
      <c r="D113" s="10">
        <v>40617</v>
      </c>
      <c r="E113" t="s">
        <v>162</v>
      </c>
      <c r="F113" t="s">
        <v>163</v>
      </c>
      <c r="G113" s="3">
        <v>75</v>
      </c>
      <c r="I113" s="2">
        <f t="shared" si="2"/>
        <v>27087.925</v>
      </c>
    </row>
    <row r="114" spans="2:9" ht="12.75">
      <c r="B114" s="71" t="s">
        <v>25</v>
      </c>
      <c r="C114" s="1">
        <v>1988</v>
      </c>
      <c r="D114" s="10">
        <v>40617</v>
      </c>
      <c r="E114" t="s">
        <v>164</v>
      </c>
      <c r="F114" t="s">
        <v>163</v>
      </c>
      <c r="G114" s="2">
        <v>75</v>
      </c>
      <c r="I114" s="2">
        <f t="shared" si="2"/>
        <v>27012.925</v>
      </c>
    </row>
    <row r="115" spans="2:9" ht="12.75">
      <c r="B115" s="71" t="s">
        <v>13</v>
      </c>
      <c r="C115" s="1">
        <v>1989</v>
      </c>
      <c r="D115" s="10">
        <v>40617</v>
      </c>
      <c r="E115" t="s">
        <v>145</v>
      </c>
      <c r="F115" t="s">
        <v>165</v>
      </c>
      <c r="G115" s="3">
        <v>65.99</v>
      </c>
      <c r="I115" s="2">
        <f t="shared" si="2"/>
        <v>26946.934999999998</v>
      </c>
    </row>
    <row r="116" spans="2:11" ht="12.75">
      <c r="B116" s="71" t="s">
        <v>13</v>
      </c>
      <c r="D116" s="10">
        <v>40633</v>
      </c>
      <c r="E116" t="s">
        <v>50</v>
      </c>
      <c r="G116" s="3">
        <v>12.5</v>
      </c>
      <c r="I116" s="3">
        <f t="shared" si="2"/>
        <v>26934.434999999998</v>
      </c>
      <c r="J116" s="2">
        <v>27049.43</v>
      </c>
      <c r="K116" s="25">
        <f>+J116-I116</f>
        <v>114.99500000000262</v>
      </c>
    </row>
    <row r="117" spans="2:12" ht="12.75">
      <c r="B117" s="71" t="s">
        <v>28</v>
      </c>
      <c r="D117" s="10">
        <v>40634</v>
      </c>
      <c r="E117" t="s">
        <v>5</v>
      </c>
      <c r="F117" t="s">
        <v>62</v>
      </c>
      <c r="H117" s="2">
        <v>60</v>
      </c>
      <c r="I117" s="2">
        <f t="shared" si="2"/>
        <v>26994.434999999998</v>
      </c>
      <c r="K117">
        <v>1973</v>
      </c>
      <c r="L117" s="25">
        <f>+G97</f>
        <v>20</v>
      </c>
    </row>
    <row r="118" spans="2:12" ht="12.75">
      <c r="B118" s="71" t="s">
        <v>25</v>
      </c>
      <c r="D118" s="10">
        <v>40634</v>
      </c>
      <c r="E118" t="s">
        <v>5</v>
      </c>
      <c r="F118" t="s">
        <v>148</v>
      </c>
      <c r="H118" s="2">
        <f>75+25+1365+2045</f>
        <v>3510</v>
      </c>
      <c r="I118" s="2">
        <f t="shared" si="2"/>
        <v>30504.434999999998</v>
      </c>
      <c r="K118">
        <v>1986</v>
      </c>
      <c r="L118" s="25">
        <f>+G112</f>
        <v>20</v>
      </c>
    </row>
    <row r="119" spans="2:12" ht="12.75">
      <c r="B119" s="71" t="s">
        <v>260</v>
      </c>
      <c r="C119" s="1">
        <v>1990</v>
      </c>
      <c r="D119" s="10">
        <v>40652</v>
      </c>
      <c r="E119" t="s">
        <v>167</v>
      </c>
      <c r="F119" t="s">
        <v>166</v>
      </c>
      <c r="G119" s="3">
        <v>2</v>
      </c>
      <c r="I119" s="2">
        <f t="shared" si="2"/>
        <v>30502.434999999998</v>
      </c>
      <c r="K119">
        <v>1988</v>
      </c>
      <c r="L119" s="37">
        <f>+G114</f>
        <v>75</v>
      </c>
    </row>
    <row r="120" spans="2:12" ht="12.75">
      <c r="B120" s="71" t="s">
        <v>260</v>
      </c>
      <c r="C120" s="1">
        <v>1991</v>
      </c>
      <c r="D120" s="10">
        <v>40658</v>
      </c>
      <c r="E120" t="s">
        <v>89</v>
      </c>
      <c r="F120" t="s">
        <v>168</v>
      </c>
      <c r="G120" s="3">
        <v>204</v>
      </c>
      <c r="I120" s="2">
        <f t="shared" si="2"/>
        <v>30298.434999999998</v>
      </c>
      <c r="L120" s="25">
        <f>SUM(L117:L119)</f>
        <v>115</v>
      </c>
    </row>
    <row r="121" spans="2:12" ht="12.75">
      <c r="B121" s="71" t="s">
        <v>13</v>
      </c>
      <c r="D121" s="10">
        <v>40663</v>
      </c>
      <c r="E121" t="s">
        <v>50</v>
      </c>
      <c r="G121" s="3">
        <v>12.5</v>
      </c>
      <c r="I121" s="3">
        <f t="shared" si="2"/>
        <v>30285.934999999998</v>
      </c>
      <c r="J121" s="2">
        <v>30325.93</v>
      </c>
      <c r="K121" s="25">
        <f>+J121-I121</f>
        <v>39.99500000000262</v>
      </c>
      <c r="L121" s="25"/>
    </row>
    <row r="122" spans="2:12" ht="12.75">
      <c r="B122" s="71" t="s">
        <v>92</v>
      </c>
      <c r="C122" s="1">
        <v>1992</v>
      </c>
      <c r="D122" s="10">
        <v>40668</v>
      </c>
      <c r="E122" t="s">
        <v>169</v>
      </c>
      <c r="F122" t="s">
        <v>170</v>
      </c>
      <c r="G122" s="3">
        <v>344.62</v>
      </c>
      <c r="I122" s="2">
        <f t="shared" si="2"/>
        <v>29941.315</v>
      </c>
      <c r="K122">
        <v>1973</v>
      </c>
      <c r="L122" s="36">
        <f>+L117</f>
        <v>20</v>
      </c>
    </row>
    <row r="123" spans="2:12" ht="12.75">
      <c r="B123" s="71" t="s">
        <v>84</v>
      </c>
      <c r="D123" s="10">
        <v>40668</v>
      </c>
      <c r="E123" t="s">
        <v>5</v>
      </c>
      <c r="F123" t="s">
        <v>174</v>
      </c>
      <c r="H123" s="3">
        <f>90+50+45</f>
        <v>185</v>
      </c>
      <c r="I123" s="2">
        <f t="shared" si="2"/>
        <v>30126.315</v>
      </c>
      <c r="K123">
        <v>1986</v>
      </c>
      <c r="L123" s="37">
        <f>+L118</f>
        <v>20</v>
      </c>
    </row>
    <row r="124" spans="2:12" ht="12.75">
      <c r="B124" s="71" t="s">
        <v>260</v>
      </c>
      <c r="D124" s="10">
        <v>40668</v>
      </c>
      <c r="E124" t="s">
        <v>5</v>
      </c>
      <c r="F124" t="s">
        <v>175</v>
      </c>
      <c r="H124" s="3">
        <f>54+12+12+6+32</f>
        <v>116</v>
      </c>
      <c r="I124" s="2">
        <f t="shared" si="2"/>
        <v>30242.315</v>
      </c>
      <c r="L124" s="25">
        <f>SUM(L122:L123)</f>
        <v>40</v>
      </c>
    </row>
    <row r="125" spans="2:9" ht="12.75">
      <c r="B125" s="71" t="s">
        <v>260</v>
      </c>
      <c r="D125" s="10">
        <v>40668</v>
      </c>
      <c r="E125" t="s">
        <v>5</v>
      </c>
      <c r="F125" t="s">
        <v>177</v>
      </c>
      <c r="H125" s="3">
        <v>220.92</v>
      </c>
      <c r="I125" s="2">
        <f t="shared" si="2"/>
        <v>30463.234999999997</v>
      </c>
    </row>
    <row r="126" spans="2:9" ht="12.75">
      <c r="B126" s="71" t="s">
        <v>26</v>
      </c>
      <c r="D126" s="10">
        <v>40668</v>
      </c>
      <c r="E126" t="s">
        <v>5</v>
      </c>
      <c r="F126" t="s">
        <v>127</v>
      </c>
      <c r="H126" s="3">
        <v>442.9</v>
      </c>
      <c r="I126" s="2">
        <f t="shared" si="2"/>
        <v>30906.135</v>
      </c>
    </row>
    <row r="127" spans="2:9" ht="12.75">
      <c r="B127" s="71" t="s">
        <v>13</v>
      </c>
      <c r="C127" s="1">
        <v>1993</v>
      </c>
      <c r="D127" s="10">
        <v>40668</v>
      </c>
      <c r="E127" t="s">
        <v>89</v>
      </c>
      <c r="F127" t="s">
        <v>176</v>
      </c>
      <c r="G127" s="3">
        <v>17.15</v>
      </c>
      <c r="I127" s="2">
        <f t="shared" si="2"/>
        <v>30888.984999999997</v>
      </c>
    </row>
    <row r="128" spans="2:9" ht="12.75">
      <c r="B128" s="71" t="s">
        <v>260</v>
      </c>
      <c r="C128" s="1">
        <v>1994</v>
      </c>
      <c r="D128" s="10">
        <v>40680</v>
      </c>
      <c r="E128" t="s">
        <v>235</v>
      </c>
      <c r="F128" t="s">
        <v>244</v>
      </c>
      <c r="G128" s="2">
        <v>0</v>
      </c>
      <c r="I128" s="2">
        <f t="shared" si="2"/>
        <v>30888.984999999997</v>
      </c>
    </row>
    <row r="129" spans="2:9" ht="12.75">
      <c r="B129" s="71" t="s">
        <v>260</v>
      </c>
      <c r="C129" s="1">
        <v>1995</v>
      </c>
      <c r="D129" s="10">
        <v>40680</v>
      </c>
      <c r="E129" t="s">
        <v>235</v>
      </c>
      <c r="F129" t="s">
        <v>236</v>
      </c>
      <c r="G129" s="3">
        <v>450</v>
      </c>
      <c r="I129" s="2">
        <f t="shared" si="2"/>
        <v>30438.984999999997</v>
      </c>
    </row>
    <row r="130" spans="2:9" ht="12.75">
      <c r="B130" s="71" t="s">
        <v>13</v>
      </c>
      <c r="C130" s="1">
        <v>1996</v>
      </c>
      <c r="D130" s="10">
        <v>40680</v>
      </c>
      <c r="F130" t="s">
        <v>139</v>
      </c>
      <c r="G130" s="3">
        <v>20</v>
      </c>
      <c r="I130" s="2">
        <f t="shared" si="2"/>
        <v>30418.984999999997</v>
      </c>
    </row>
    <row r="131" spans="2:9" ht="12.75">
      <c r="B131" s="71" t="s">
        <v>13</v>
      </c>
      <c r="C131" s="1">
        <v>1997</v>
      </c>
      <c r="D131" s="10">
        <v>40680</v>
      </c>
      <c r="F131" t="s">
        <v>61</v>
      </c>
      <c r="G131" s="3">
        <v>17.15</v>
      </c>
      <c r="I131" s="2">
        <f t="shared" si="2"/>
        <v>30401.834999999995</v>
      </c>
    </row>
    <row r="132" spans="2:9" ht="12.75">
      <c r="B132" s="71" t="s">
        <v>25</v>
      </c>
      <c r="C132" s="1">
        <v>1998</v>
      </c>
      <c r="D132" s="10">
        <v>40683</v>
      </c>
      <c r="E132" t="s">
        <v>237</v>
      </c>
      <c r="F132" t="s">
        <v>238</v>
      </c>
      <c r="G132" s="3">
        <v>75</v>
      </c>
      <c r="I132" s="2">
        <f t="shared" si="2"/>
        <v>30326.834999999995</v>
      </c>
    </row>
    <row r="133" spans="2:9" ht="12.75">
      <c r="B133" s="71" t="s">
        <v>84</v>
      </c>
      <c r="D133" s="10">
        <v>40686</v>
      </c>
      <c r="E133" t="s">
        <v>5</v>
      </c>
      <c r="F133" t="s">
        <v>44</v>
      </c>
      <c r="H133" s="3">
        <f>50+200+200+200+45+50+50+50+50+50+50+50+50+50+50+90+100+100+145+45+100+45+45+45+45+45+50+50+45+45+45+45+45+45+45+50+50+100+50+150+300+45+45+95+100+50+50+50+50+50+50+45+45+45+50+50+100+300+50+45+50+150+50+45+100+45+250+50+50+50+50+50+45+45+50+45+400+100+385</f>
        <v>6440</v>
      </c>
      <c r="I133" s="2">
        <f t="shared" si="2"/>
        <v>36766.83499999999</v>
      </c>
    </row>
    <row r="134" spans="2:9" ht="12.75">
      <c r="B134" s="71" t="s">
        <v>260</v>
      </c>
      <c r="D134" s="10">
        <v>40686</v>
      </c>
      <c r="E134" t="s">
        <v>5</v>
      </c>
      <c r="F134" t="s">
        <v>242</v>
      </c>
      <c r="H134" s="3">
        <v>200</v>
      </c>
      <c r="I134" s="2">
        <f t="shared" si="2"/>
        <v>36966.83499999999</v>
      </c>
    </row>
    <row r="135" spans="2:9" ht="12.75">
      <c r="B135" s="71" t="s">
        <v>13</v>
      </c>
      <c r="C135" s="1">
        <v>1999</v>
      </c>
      <c r="D135" s="10">
        <v>40683</v>
      </c>
      <c r="E135" t="s">
        <v>145</v>
      </c>
      <c r="F135" t="s">
        <v>245</v>
      </c>
      <c r="G135" s="3">
        <v>70</v>
      </c>
      <c r="I135" s="2">
        <f t="shared" si="2"/>
        <v>36896.83499999999</v>
      </c>
    </row>
    <row r="136" spans="2:9" ht="12.75">
      <c r="B136" s="71" t="s">
        <v>13</v>
      </c>
      <c r="C136" s="1">
        <v>2000</v>
      </c>
      <c r="D136" s="10">
        <v>40689</v>
      </c>
      <c r="F136" t="s">
        <v>243</v>
      </c>
      <c r="G136" s="44">
        <v>41.97</v>
      </c>
      <c r="I136" s="2">
        <f t="shared" si="2"/>
        <v>36854.86499999999</v>
      </c>
    </row>
    <row r="137" spans="2:9" ht="12.75">
      <c r="B137" s="71" t="s">
        <v>35</v>
      </c>
      <c r="C137" s="1">
        <v>2001</v>
      </c>
      <c r="D137" s="10">
        <v>40689</v>
      </c>
      <c r="E137" t="s">
        <v>247</v>
      </c>
      <c r="F137" t="s">
        <v>240</v>
      </c>
      <c r="G137" s="3">
        <v>180</v>
      </c>
      <c r="I137" s="2">
        <f t="shared" si="2"/>
        <v>36674.86499999999</v>
      </c>
    </row>
    <row r="138" spans="2:9" ht="12.75">
      <c r="B138" s="71" t="s">
        <v>35</v>
      </c>
      <c r="D138" s="10">
        <v>40686</v>
      </c>
      <c r="E138" t="s">
        <v>246</v>
      </c>
      <c r="F138" t="s">
        <v>241</v>
      </c>
      <c r="G138" s="3">
        <v>3775</v>
      </c>
      <c r="I138" s="2">
        <f t="shared" si="2"/>
        <v>32899.86499999999</v>
      </c>
    </row>
    <row r="139" spans="2:9" ht="12.75">
      <c r="B139" s="71" t="s">
        <v>24</v>
      </c>
      <c r="C139" s="1">
        <v>2002</v>
      </c>
      <c r="D139" s="10">
        <v>40689</v>
      </c>
      <c r="E139" t="s">
        <v>248</v>
      </c>
      <c r="F139" t="s">
        <v>249</v>
      </c>
      <c r="G139" s="2">
        <f>7+20.02+7+2.99+28.27</f>
        <v>65.28</v>
      </c>
      <c r="I139" s="2">
        <f t="shared" si="2"/>
        <v>32834.58499999999</v>
      </c>
    </row>
    <row r="140" spans="2:9" ht="12.75">
      <c r="B140" s="71" t="s">
        <v>24</v>
      </c>
      <c r="C140" s="1">
        <v>2003</v>
      </c>
      <c r="D140" s="10">
        <v>40689</v>
      </c>
      <c r="E140" t="s">
        <v>169</v>
      </c>
      <c r="F140" t="s">
        <v>250</v>
      </c>
      <c r="G140" s="3">
        <f>10+55+94.74+198.19+77.99+219.5+323.78+118.62</f>
        <v>1097.8200000000002</v>
      </c>
      <c r="I140" s="2">
        <f t="shared" si="2"/>
        <v>31736.764999999992</v>
      </c>
    </row>
    <row r="141" spans="2:13" ht="12.75">
      <c r="B141" s="71" t="s">
        <v>239</v>
      </c>
      <c r="C141" s="1">
        <v>2004</v>
      </c>
      <c r="D141" s="10">
        <v>40689</v>
      </c>
      <c r="E141" t="s">
        <v>254</v>
      </c>
      <c r="F141" t="s">
        <v>239</v>
      </c>
      <c r="G141" s="44">
        <v>1644.45</v>
      </c>
      <c r="I141" s="2">
        <f t="shared" si="2"/>
        <v>30092.31499999999</v>
      </c>
      <c r="J141" s="77"/>
      <c r="K141" s="78"/>
      <c r="L141" s="78"/>
      <c r="M141" s="79"/>
    </row>
    <row r="142" spans="2:13" ht="12.75">
      <c r="B142" s="71" t="s">
        <v>13</v>
      </c>
      <c r="C142" s="1">
        <v>2005</v>
      </c>
      <c r="D142" s="10">
        <v>40689</v>
      </c>
      <c r="F142" t="s">
        <v>253</v>
      </c>
      <c r="G142" s="44">
        <v>48.48</v>
      </c>
      <c r="I142" s="2">
        <f t="shared" si="2"/>
        <v>30043.834999999992</v>
      </c>
      <c r="J142" s="80"/>
      <c r="K142" s="81"/>
      <c r="L142" s="81">
        <v>2001</v>
      </c>
      <c r="M142" s="82">
        <f>+G137</f>
        <v>180</v>
      </c>
    </row>
    <row r="143" spans="2:13" ht="12.75">
      <c r="B143" s="71" t="s">
        <v>260</v>
      </c>
      <c r="C143" s="1">
        <v>2006</v>
      </c>
      <c r="D143" s="10">
        <v>40690</v>
      </c>
      <c r="E143" t="s">
        <v>251</v>
      </c>
      <c r="F143" t="s">
        <v>252</v>
      </c>
      <c r="G143" s="44">
        <v>225</v>
      </c>
      <c r="I143" s="2">
        <f t="shared" si="2"/>
        <v>29818.834999999992</v>
      </c>
      <c r="J143" s="80"/>
      <c r="K143" s="83"/>
      <c r="L143" s="81">
        <v>2002</v>
      </c>
      <c r="M143" s="88">
        <f>+G139</f>
        <v>65.28</v>
      </c>
    </row>
    <row r="144" spans="2:13" ht="12.75">
      <c r="B144" s="71" t="s">
        <v>13</v>
      </c>
      <c r="D144" s="10">
        <v>40694</v>
      </c>
      <c r="E144" t="s">
        <v>50</v>
      </c>
      <c r="G144" s="44">
        <v>12.5</v>
      </c>
      <c r="I144" s="3">
        <f t="shared" si="2"/>
        <v>29806.334999999992</v>
      </c>
      <c r="J144" s="80">
        <v>31969.54</v>
      </c>
      <c r="K144" s="83">
        <f>+J144-I144</f>
        <v>2163.205000000009</v>
      </c>
      <c r="L144" s="81">
        <v>2004</v>
      </c>
      <c r="M144" s="82">
        <f>+G141</f>
        <v>1644.45</v>
      </c>
    </row>
    <row r="145" spans="2:13" ht="12.75">
      <c r="B145" s="71" t="s">
        <v>84</v>
      </c>
      <c r="D145" s="10">
        <v>40698</v>
      </c>
      <c r="E145" t="s">
        <v>5</v>
      </c>
      <c r="F145" t="s">
        <v>255</v>
      </c>
      <c r="G145" s="63"/>
      <c r="H145" s="3">
        <f>45+45+45+45+45+190+50+45+150+50+50+50+45+145+45+100+45+150+50+45+45</f>
        <v>1480</v>
      </c>
      <c r="I145" s="2">
        <f t="shared" si="2"/>
        <v>31286.334999999992</v>
      </c>
      <c r="J145" s="80"/>
      <c r="K145" s="81"/>
      <c r="L145" s="81">
        <v>2005</v>
      </c>
      <c r="M145" s="82">
        <f>+G142</f>
        <v>48.48</v>
      </c>
    </row>
    <row r="146" spans="2:13" ht="12.75">
      <c r="B146" s="71" t="s">
        <v>239</v>
      </c>
      <c r="D146" s="10">
        <v>40698</v>
      </c>
      <c r="E146" t="s">
        <v>5</v>
      </c>
      <c r="F146" t="s">
        <v>255</v>
      </c>
      <c r="G146" s="63"/>
      <c r="H146" s="3">
        <v>1731</v>
      </c>
      <c r="I146" s="2">
        <f t="shared" si="2"/>
        <v>33017.33499999999</v>
      </c>
      <c r="J146" s="80"/>
      <c r="K146" s="81"/>
      <c r="L146" s="81">
        <v>2006</v>
      </c>
      <c r="M146" s="84">
        <f>+G143</f>
        <v>225</v>
      </c>
    </row>
    <row r="147" spans="2:13" ht="12.75">
      <c r="B147" s="71" t="s">
        <v>26</v>
      </c>
      <c r="C147" s="1">
        <v>2007</v>
      </c>
      <c r="D147" s="10">
        <v>40698</v>
      </c>
      <c r="E147" t="s">
        <v>256</v>
      </c>
      <c r="F147" t="s">
        <v>257</v>
      </c>
      <c r="G147" s="3">
        <v>130</v>
      </c>
      <c r="I147" s="2">
        <f t="shared" si="2"/>
        <v>32887.33499999999</v>
      </c>
      <c r="J147" s="86"/>
      <c r="K147" s="73"/>
      <c r="L147" s="73"/>
      <c r="M147" s="84">
        <f>SUM(M142:M146)</f>
        <v>2163.21</v>
      </c>
    </row>
    <row r="148" spans="2:13" ht="12.75">
      <c r="B148" s="71" t="s">
        <v>25</v>
      </c>
      <c r="D148" s="10">
        <v>40700</v>
      </c>
      <c r="E148" t="s">
        <v>5</v>
      </c>
      <c r="F148" t="s">
        <v>258</v>
      </c>
      <c r="H148" s="3">
        <v>324.8</v>
      </c>
      <c r="I148" s="2">
        <f t="shared" si="2"/>
        <v>33212.134999999995</v>
      </c>
      <c r="J148" s="77"/>
      <c r="K148" s="78"/>
      <c r="L148" s="78"/>
      <c r="M148" s="79"/>
    </row>
    <row r="149" spans="2:13" ht="12.75">
      <c r="B149" s="71" t="s">
        <v>13</v>
      </c>
      <c r="D149" s="10">
        <v>40724</v>
      </c>
      <c r="E149" t="s">
        <v>50</v>
      </c>
      <c r="G149" s="3">
        <v>12.5</v>
      </c>
      <c r="I149" s="3">
        <f t="shared" si="2"/>
        <v>33199.634999999995</v>
      </c>
      <c r="J149" s="80">
        <v>33264.91</v>
      </c>
      <c r="K149" s="83">
        <f>+J149-I149</f>
        <v>65.27500000000873</v>
      </c>
      <c r="L149" s="81"/>
      <c r="M149" s="85"/>
    </row>
    <row r="150" spans="2:13" ht="12.75">
      <c r="B150" s="71" t="s">
        <v>277</v>
      </c>
      <c r="C150" s="1">
        <v>2008</v>
      </c>
      <c r="D150" s="10">
        <v>40733</v>
      </c>
      <c r="E150" t="s">
        <v>235</v>
      </c>
      <c r="F150" t="s">
        <v>278</v>
      </c>
      <c r="G150" s="2">
        <v>150</v>
      </c>
      <c r="I150" s="2">
        <f t="shared" si="2"/>
        <v>33049.634999999995</v>
      </c>
      <c r="J150" s="75"/>
      <c r="K150" s="73">
        <v>2002</v>
      </c>
      <c r="L150" s="87">
        <v>65.28</v>
      </c>
      <c r="M150" s="74"/>
    </row>
    <row r="151" spans="2:9" ht="12.75">
      <c r="B151" s="71" t="s">
        <v>277</v>
      </c>
      <c r="C151" s="1">
        <v>2009</v>
      </c>
      <c r="D151" s="10">
        <v>40733</v>
      </c>
      <c r="E151" t="s">
        <v>235</v>
      </c>
      <c r="F151" t="s">
        <v>278</v>
      </c>
      <c r="G151" s="44">
        <v>890</v>
      </c>
      <c r="I151" s="2">
        <f t="shared" si="2"/>
        <v>32159.634999999995</v>
      </c>
    </row>
    <row r="152" spans="2:9" ht="12.75">
      <c r="B152" s="71" t="s">
        <v>277</v>
      </c>
      <c r="C152" s="1">
        <v>2010</v>
      </c>
      <c r="D152" s="10">
        <v>40733</v>
      </c>
      <c r="F152" t="s">
        <v>279</v>
      </c>
      <c r="G152" s="44">
        <v>88.25</v>
      </c>
      <c r="I152" s="2">
        <f t="shared" si="2"/>
        <v>32071.384999999995</v>
      </c>
    </row>
    <row r="153" spans="2:9" ht="12.75">
      <c r="B153" s="71" t="s">
        <v>277</v>
      </c>
      <c r="C153" s="1">
        <v>2011</v>
      </c>
      <c r="D153" s="10">
        <v>40733</v>
      </c>
      <c r="F153" t="s">
        <v>279</v>
      </c>
      <c r="G153" s="3">
        <v>95.99</v>
      </c>
      <c r="I153" s="2">
        <f t="shared" si="2"/>
        <v>31975.394999999993</v>
      </c>
    </row>
    <row r="154" spans="2:13" ht="12.75">
      <c r="B154" s="71" t="s">
        <v>277</v>
      </c>
      <c r="C154" s="1">
        <v>2012</v>
      </c>
      <c r="D154" s="10">
        <v>40733</v>
      </c>
      <c r="E154" t="s">
        <v>280</v>
      </c>
      <c r="F154" t="s">
        <v>281</v>
      </c>
      <c r="G154" s="3">
        <v>200</v>
      </c>
      <c r="I154" s="2">
        <f t="shared" si="2"/>
        <v>31775.394999999993</v>
      </c>
      <c r="J154" s="77"/>
      <c r="K154" s="78"/>
      <c r="L154" s="78">
        <v>2002</v>
      </c>
      <c r="M154" s="79">
        <v>65.28</v>
      </c>
    </row>
    <row r="155" spans="2:14" ht="12.75">
      <c r="B155" s="71" t="s">
        <v>277</v>
      </c>
      <c r="C155" s="1">
        <v>2013</v>
      </c>
      <c r="D155" s="10">
        <v>40752</v>
      </c>
      <c r="E155" t="s">
        <v>145</v>
      </c>
      <c r="F155" t="s">
        <v>282</v>
      </c>
      <c r="G155" s="3">
        <f>74.35+125.55+44.82+31.36</f>
        <v>276.08</v>
      </c>
      <c r="I155" s="2">
        <f t="shared" si="2"/>
        <v>31499.31499999999</v>
      </c>
      <c r="J155" s="80"/>
      <c r="K155" s="81"/>
      <c r="L155" s="81">
        <v>2008</v>
      </c>
      <c r="M155" s="82">
        <f>+G150</f>
        <v>150</v>
      </c>
      <c r="N155" t="s">
        <v>296</v>
      </c>
    </row>
    <row r="156" spans="2:13" ht="12.75">
      <c r="B156" s="71" t="s">
        <v>13</v>
      </c>
      <c r="D156" s="10">
        <v>40753</v>
      </c>
      <c r="E156" t="s">
        <v>50</v>
      </c>
      <c r="G156" s="3">
        <v>12.5</v>
      </c>
      <c r="I156" s="3">
        <f t="shared" si="2"/>
        <v>31486.81499999999</v>
      </c>
      <c r="J156" s="80">
        <v>31978.17</v>
      </c>
      <c r="K156" s="83">
        <f>+J156-I156</f>
        <v>491.35500000000684</v>
      </c>
      <c r="L156" s="81">
        <v>2013</v>
      </c>
      <c r="M156" s="84">
        <f>+G155</f>
        <v>276.08</v>
      </c>
    </row>
    <row r="157" spans="2:13" ht="12.75">
      <c r="B157" s="71" t="s">
        <v>277</v>
      </c>
      <c r="D157" s="10"/>
      <c r="E157" t="s">
        <v>297</v>
      </c>
      <c r="F157" t="s">
        <v>298</v>
      </c>
      <c r="H157" s="3">
        <v>150</v>
      </c>
      <c r="I157" s="26">
        <f t="shared" si="2"/>
        <v>31636.81499999999</v>
      </c>
      <c r="J157" s="80"/>
      <c r="K157" s="83"/>
      <c r="L157" s="81"/>
      <c r="M157" s="85">
        <f>SUM(M154:M156)</f>
        <v>491.36</v>
      </c>
    </row>
    <row r="158" spans="2:13" ht="12.75">
      <c r="B158" s="71" t="s">
        <v>13</v>
      </c>
      <c r="D158" s="10">
        <v>40786</v>
      </c>
      <c r="E158" t="s">
        <v>50</v>
      </c>
      <c r="G158" s="3">
        <v>12.5</v>
      </c>
      <c r="I158" s="26">
        <f t="shared" si="2"/>
        <v>31624.31499999999</v>
      </c>
      <c r="J158" s="86"/>
      <c r="K158" s="76"/>
      <c r="L158" s="73"/>
      <c r="M158" s="74"/>
    </row>
    <row r="159" spans="2:13" ht="12.75">
      <c r="B159" s="71" t="s">
        <v>13</v>
      </c>
      <c r="C159" s="1">
        <v>2014</v>
      </c>
      <c r="D159" s="10">
        <v>40786</v>
      </c>
      <c r="E159" t="s">
        <v>14</v>
      </c>
      <c r="F159" t="s">
        <v>291</v>
      </c>
      <c r="G159" s="2">
        <v>375</v>
      </c>
      <c r="I159" s="3">
        <f t="shared" si="2"/>
        <v>31249.31499999999</v>
      </c>
      <c r="J159" s="77">
        <v>31689.59</v>
      </c>
      <c r="K159" s="89">
        <f>+J159-I159</f>
        <v>440.27500000000873</v>
      </c>
      <c r="L159" s="78"/>
      <c r="M159" s="79"/>
    </row>
    <row r="160" spans="2:13" ht="12.75">
      <c r="B160" s="71" t="s">
        <v>293</v>
      </c>
      <c r="C160" s="1">
        <v>2015</v>
      </c>
      <c r="D160" s="10">
        <v>40787</v>
      </c>
      <c r="E160" t="s">
        <v>0</v>
      </c>
      <c r="F160" t="s">
        <v>294</v>
      </c>
      <c r="G160" s="2">
        <v>22000</v>
      </c>
      <c r="I160" s="2">
        <f t="shared" si="2"/>
        <v>9249.314999999991</v>
      </c>
      <c r="J160" s="80"/>
      <c r="K160" s="81"/>
      <c r="L160" s="81">
        <v>2002</v>
      </c>
      <c r="M160" s="88">
        <f>+G139</f>
        <v>65.28</v>
      </c>
    </row>
    <row r="161" spans="2:13" ht="12.75">
      <c r="B161" s="71" t="s">
        <v>84</v>
      </c>
      <c r="C161" s="1">
        <v>2016</v>
      </c>
      <c r="D161" s="10">
        <v>40799</v>
      </c>
      <c r="E161" t="s">
        <v>85</v>
      </c>
      <c r="F161" t="s">
        <v>295</v>
      </c>
      <c r="G161" s="2">
        <v>1470.55</v>
      </c>
      <c r="I161" s="2">
        <f t="shared" si="2"/>
        <v>7778.764999999991</v>
      </c>
      <c r="J161" s="80"/>
      <c r="K161" s="81"/>
      <c r="L161" s="81">
        <v>2014</v>
      </c>
      <c r="M161" s="90">
        <f>+G159</f>
        <v>375</v>
      </c>
    </row>
    <row r="162" spans="2:13" ht="12.75">
      <c r="B162" s="71" t="s">
        <v>239</v>
      </c>
      <c r="D162" s="10">
        <v>40809</v>
      </c>
      <c r="E162" t="s">
        <v>5</v>
      </c>
      <c r="F162" t="s">
        <v>239</v>
      </c>
      <c r="H162" s="2">
        <f>12+24+12+36+12+12+256</f>
        <v>364</v>
      </c>
      <c r="I162" s="2">
        <f t="shared" si="2"/>
        <v>8142.764999999991</v>
      </c>
      <c r="J162" s="86"/>
      <c r="K162" s="73"/>
      <c r="L162" s="73"/>
      <c r="M162" s="90">
        <f>SUM(M160:M161)</f>
        <v>440.28</v>
      </c>
    </row>
    <row r="163" spans="2:9" ht="12.75">
      <c r="B163" s="71" t="s">
        <v>84</v>
      </c>
      <c r="C163" s="1">
        <v>2017</v>
      </c>
      <c r="D163" s="10">
        <v>40809</v>
      </c>
      <c r="E163" t="s">
        <v>169</v>
      </c>
      <c r="F163" t="s">
        <v>299</v>
      </c>
      <c r="G163" s="2">
        <v>14.14</v>
      </c>
      <c r="I163" s="2">
        <f t="shared" si="2"/>
        <v>8128.624999999991</v>
      </c>
    </row>
    <row r="164" spans="2:9" ht="12.75">
      <c r="B164" s="71" t="s">
        <v>84</v>
      </c>
      <c r="C164" s="1">
        <v>2018</v>
      </c>
      <c r="D164" s="10">
        <v>40809</v>
      </c>
      <c r="E164" t="s">
        <v>300</v>
      </c>
      <c r="F164" t="s">
        <v>299</v>
      </c>
      <c r="G164" s="2">
        <v>139.17</v>
      </c>
      <c r="I164" s="2">
        <f aca="true" t="shared" si="3" ref="I164:I171">+I163-G164+H164</f>
        <v>7989.454999999991</v>
      </c>
    </row>
    <row r="165" spans="2:9" ht="12.75">
      <c r="B165" s="71" t="s">
        <v>13</v>
      </c>
      <c r="C165" s="1">
        <v>2019</v>
      </c>
      <c r="D165" s="10">
        <v>40822</v>
      </c>
      <c r="E165" t="s">
        <v>145</v>
      </c>
      <c r="F165" t="s">
        <v>301</v>
      </c>
      <c r="G165" s="63">
        <v>148.28</v>
      </c>
      <c r="I165" s="2">
        <f t="shared" si="3"/>
        <v>7841.174999999991</v>
      </c>
    </row>
    <row r="166" spans="7:9" ht="12.75">
      <c r="G166" s="63"/>
      <c r="I166" s="2">
        <f t="shared" si="3"/>
        <v>7841.174999999991</v>
      </c>
    </row>
    <row r="167" spans="7:9" ht="12.75">
      <c r="G167" s="63"/>
      <c r="I167" s="2">
        <f t="shared" si="3"/>
        <v>7841.174999999991</v>
      </c>
    </row>
    <row r="168" ht="12.75">
      <c r="I168" s="2">
        <f t="shared" si="3"/>
        <v>7841.174999999991</v>
      </c>
    </row>
    <row r="169" ht="12.75">
      <c r="I169" s="2">
        <f t="shared" si="3"/>
        <v>7841.174999999991</v>
      </c>
    </row>
    <row r="170" ht="12.75">
      <c r="I170" s="2">
        <f t="shared" si="3"/>
        <v>7841.174999999991</v>
      </c>
    </row>
    <row r="171" ht="12.75">
      <c r="I171" s="2">
        <f t="shared" si="3"/>
        <v>7841.174999999991</v>
      </c>
    </row>
    <row r="174" spans="7:8" ht="12.75">
      <c r="G174" s="2">
        <v>-57581.8</v>
      </c>
      <c r="H174" s="2">
        <v>57910.76</v>
      </c>
    </row>
  </sheetData>
  <sheetProtection/>
  <autoFilter ref="A19:N171"/>
  <mergeCells count="3">
    <mergeCell ref="A1:I1"/>
    <mergeCell ref="A2:I2"/>
    <mergeCell ref="A3:I3"/>
  </mergeCells>
  <printOptions/>
  <pageMargins left="0" right="0.01" top="0.07" bottom="0.5" header="0.17" footer="0.5"/>
  <pageSetup horizontalDpi="600" verticalDpi="600" orientation="portrait" scale="68" r:id="rId1"/>
  <rowBreaks count="1" manualBreakCount="1">
    <brk id="94" max="8" man="1"/>
  </rowBreaks>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B1">
      <selection activeCell="D55" sqref="D55"/>
    </sheetView>
  </sheetViews>
  <sheetFormatPr defaultColWidth="9.140625" defaultRowHeight="12.75"/>
  <cols>
    <col min="2" max="3" width="10.8515625" style="1" customWidth="1"/>
    <col min="4" max="4" width="12.421875" style="1" customWidth="1"/>
    <col min="5" max="5" width="28.140625" style="0" customWidth="1"/>
    <col min="6" max="6" width="51.00390625" style="0" customWidth="1"/>
    <col min="7" max="7" width="13.7109375" style="2" customWidth="1"/>
    <col min="8" max="8" width="13.421875" style="2" customWidth="1"/>
    <col min="9" max="9" width="14.28125" style="2" customWidth="1"/>
  </cols>
  <sheetData>
    <row r="1" spans="1:9" ht="15.75">
      <c r="A1" s="91" t="s">
        <v>1</v>
      </c>
      <c r="B1" s="91"/>
      <c r="C1" s="91"/>
      <c r="D1" s="91"/>
      <c r="E1" s="91"/>
      <c r="F1" s="91"/>
      <c r="G1" s="91"/>
      <c r="H1" s="91"/>
      <c r="I1" s="91"/>
    </row>
    <row r="2" spans="1:9" ht="15.75">
      <c r="A2" s="91" t="s">
        <v>2</v>
      </c>
      <c r="B2" s="91"/>
      <c r="C2" s="91"/>
      <c r="D2" s="91"/>
      <c r="E2" s="91"/>
      <c r="F2" s="91"/>
      <c r="G2" s="91"/>
      <c r="H2" s="91"/>
      <c r="I2" s="91"/>
    </row>
    <row r="3" spans="1:9" ht="15.75">
      <c r="A3" s="91" t="s">
        <v>17</v>
      </c>
      <c r="B3" s="91"/>
      <c r="C3" s="91"/>
      <c r="D3" s="91"/>
      <c r="E3" s="91"/>
      <c r="F3" s="91"/>
      <c r="G3" s="91"/>
      <c r="H3" s="91"/>
      <c r="I3" s="91"/>
    </row>
    <row r="5" ht="13.5" thickBot="1"/>
    <row r="6" spans="2:9" ht="13.5" thickBot="1">
      <c r="B6" s="6" t="s">
        <v>12</v>
      </c>
      <c r="C6" s="7" t="s">
        <v>3</v>
      </c>
      <c r="D6" s="7" t="s">
        <v>8</v>
      </c>
      <c r="E6" s="7" t="s">
        <v>10</v>
      </c>
      <c r="F6" s="7" t="s">
        <v>4</v>
      </c>
      <c r="G6" s="8" t="s">
        <v>6</v>
      </c>
      <c r="H6" s="8" t="s">
        <v>5</v>
      </c>
      <c r="I6" s="9" t="s">
        <v>7</v>
      </c>
    </row>
    <row r="9" spans="6:9" ht="12.75">
      <c r="F9" s="4" t="s">
        <v>53</v>
      </c>
      <c r="I9" s="3">
        <v>5000.74</v>
      </c>
    </row>
    <row r="10" ht="12.75">
      <c r="I10" s="3"/>
    </row>
    <row r="11" spans="4:9" ht="12.75">
      <c r="D11" s="10"/>
      <c r="E11" s="5"/>
      <c r="I11" s="2">
        <f>+I9+G11-H11</f>
        <v>5000.74</v>
      </c>
    </row>
    <row r="12" spans="4:9" ht="12.75">
      <c r="D12" s="10">
        <v>40359</v>
      </c>
      <c r="E12" t="s">
        <v>51</v>
      </c>
      <c r="F12" t="s">
        <v>54</v>
      </c>
      <c r="H12" s="2">
        <v>0.41</v>
      </c>
      <c r="I12" s="2">
        <f>+I11+H12-G12</f>
        <v>5001.15</v>
      </c>
    </row>
    <row r="13" spans="4:9" ht="12.75">
      <c r="D13" s="10">
        <v>40389</v>
      </c>
      <c r="E13" t="s">
        <v>51</v>
      </c>
      <c r="F13" t="s">
        <v>54</v>
      </c>
      <c r="H13" s="2">
        <v>0.44</v>
      </c>
      <c r="I13" s="2">
        <f aca="true" t="shared" si="0" ref="I13:I39">+I12+H13-G13</f>
        <v>5001.589999999999</v>
      </c>
    </row>
    <row r="14" spans="4:9" ht="12.75">
      <c r="D14" s="10">
        <v>40420</v>
      </c>
      <c r="E14" t="s">
        <v>51</v>
      </c>
      <c r="F14" t="s">
        <v>54</v>
      </c>
      <c r="H14" s="2">
        <v>0.41</v>
      </c>
      <c r="I14" s="2">
        <f t="shared" si="0"/>
        <v>5001.999999999999</v>
      </c>
    </row>
    <row r="15" spans="4:9" ht="12.75">
      <c r="D15" s="10">
        <v>40451</v>
      </c>
      <c r="E15" t="s">
        <v>51</v>
      </c>
      <c r="F15" t="s">
        <v>54</v>
      </c>
      <c r="H15" s="2">
        <v>0.41</v>
      </c>
      <c r="I15" s="2">
        <f t="shared" si="0"/>
        <v>5002.409999999999</v>
      </c>
    </row>
    <row r="16" spans="4:9" ht="12.75">
      <c r="D16" s="10">
        <v>40482</v>
      </c>
      <c r="E16" t="s">
        <v>51</v>
      </c>
      <c r="F16" t="s">
        <v>54</v>
      </c>
      <c r="H16" s="2">
        <v>0.43</v>
      </c>
      <c r="I16" s="2">
        <f t="shared" si="0"/>
        <v>5002.839999999999</v>
      </c>
    </row>
    <row r="17" spans="4:9" ht="12.75">
      <c r="D17" s="10">
        <v>40512</v>
      </c>
      <c r="E17" t="s">
        <v>51</v>
      </c>
      <c r="F17" t="s">
        <v>54</v>
      </c>
      <c r="H17" s="2">
        <v>0.41</v>
      </c>
      <c r="I17" s="2">
        <f t="shared" si="0"/>
        <v>5003.249999999999</v>
      </c>
    </row>
    <row r="18" spans="4:10" ht="12.75">
      <c r="D18" s="10">
        <v>40542</v>
      </c>
      <c r="E18" t="s">
        <v>51</v>
      </c>
      <c r="F18" t="s">
        <v>54</v>
      </c>
      <c r="H18" s="2">
        <v>0.43</v>
      </c>
      <c r="I18" s="3">
        <f t="shared" si="0"/>
        <v>5003.679999999999</v>
      </c>
      <c r="J18" s="4" t="s">
        <v>125</v>
      </c>
    </row>
    <row r="19" spans="4:9" ht="12.75">
      <c r="D19" s="10">
        <v>40574</v>
      </c>
      <c r="E19" t="s">
        <v>51</v>
      </c>
      <c r="F19" t="s">
        <v>54</v>
      </c>
      <c r="H19" s="2">
        <v>0.42</v>
      </c>
      <c r="I19" s="2">
        <f t="shared" si="0"/>
        <v>5004.099999999999</v>
      </c>
    </row>
    <row r="20" spans="4:9" ht="12.75">
      <c r="D20" s="10">
        <v>40602</v>
      </c>
      <c r="E20" t="s">
        <v>51</v>
      </c>
      <c r="F20" t="s">
        <v>54</v>
      </c>
      <c r="H20" s="2">
        <v>0.38</v>
      </c>
      <c r="I20" s="2">
        <f t="shared" si="0"/>
        <v>5004.48</v>
      </c>
    </row>
    <row r="21" spans="4:9" ht="12.75">
      <c r="D21" s="10">
        <v>40630</v>
      </c>
      <c r="E21" t="s">
        <v>51</v>
      </c>
      <c r="F21" t="s">
        <v>54</v>
      </c>
      <c r="H21" s="2">
        <v>0.43</v>
      </c>
      <c r="I21" s="2">
        <f t="shared" si="0"/>
        <v>5004.91</v>
      </c>
    </row>
    <row r="22" spans="4:9" ht="12.75">
      <c r="D22" s="10">
        <v>40663</v>
      </c>
      <c r="E22" t="s">
        <v>51</v>
      </c>
      <c r="F22" t="s">
        <v>54</v>
      </c>
      <c r="H22" s="2">
        <v>0.42</v>
      </c>
      <c r="I22" s="2">
        <f t="shared" si="0"/>
        <v>5005.33</v>
      </c>
    </row>
    <row r="23" spans="4:9" ht="12.75">
      <c r="D23" s="10">
        <v>40694</v>
      </c>
      <c r="E23" t="s">
        <v>51</v>
      </c>
      <c r="F23" t="s">
        <v>54</v>
      </c>
      <c r="H23" s="2">
        <v>0.42</v>
      </c>
      <c r="I23" s="2">
        <f t="shared" si="0"/>
        <v>5005.75</v>
      </c>
    </row>
    <row r="24" spans="4:10" ht="12.75">
      <c r="D24" s="10">
        <v>40724</v>
      </c>
      <c r="E24" t="s">
        <v>51</v>
      </c>
      <c r="F24" t="s">
        <v>54</v>
      </c>
      <c r="H24" s="2">
        <v>0.41</v>
      </c>
      <c r="I24" s="3">
        <f t="shared" si="0"/>
        <v>5006.16</v>
      </c>
      <c r="J24" s="4" t="s">
        <v>125</v>
      </c>
    </row>
    <row r="25" spans="4:9" ht="12.75">
      <c r="D25" s="10">
        <v>40755</v>
      </c>
      <c r="E25" t="s">
        <v>51</v>
      </c>
      <c r="F25" t="s">
        <v>54</v>
      </c>
      <c r="H25" s="2">
        <v>0.42</v>
      </c>
      <c r="I25" s="2">
        <f t="shared" si="0"/>
        <v>5006.58</v>
      </c>
    </row>
    <row r="26" spans="4:9" ht="12.75">
      <c r="D26" s="10">
        <v>40786</v>
      </c>
      <c r="E26" t="s">
        <v>51</v>
      </c>
      <c r="F26" t="s">
        <v>54</v>
      </c>
      <c r="H26" s="2">
        <v>0.43</v>
      </c>
      <c r="I26" s="2">
        <f t="shared" si="0"/>
        <v>5007.01</v>
      </c>
    </row>
    <row r="27" ht="12.75">
      <c r="I27" s="2">
        <f t="shared" si="0"/>
        <v>5007.01</v>
      </c>
    </row>
    <row r="28" ht="12.75">
      <c r="I28" s="2">
        <f t="shared" si="0"/>
        <v>5007.01</v>
      </c>
    </row>
    <row r="29" ht="12.75">
      <c r="I29" s="2">
        <f t="shared" si="0"/>
        <v>5007.01</v>
      </c>
    </row>
    <row r="30" ht="12.75">
      <c r="I30" s="2">
        <f t="shared" si="0"/>
        <v>5007.01</v>
      </c>
    </row>
    <row r="31" ht="12.75">
      <c r="I31" s="2">
        <f t="shared" si="0"/>
        <v>5007.01</v>
      </c>
    </row>
    <row r="32" ht="12.75">
      <c r="I32" s="2">
        <f t="shared" si="0"/>
        <v>5007.01</v>
      </c>
    </row>
    <row r="33" ht="12.75">
      <c r="I33" s="2">
        <f t="shared" si="0"/>
        <v>5007.01</v>
      </c>
    </row>
    <row r="34" ht="12.75">
      <c r="I34" s="2">
        <f t="shared" si="0"/>
        <v>5007.01</v>
      </c>
    </row>
    <row r="35" ht="12.75">
      <c r="I35" s="2">
        <f t="shared" si="0"/>
        <v>5007.01</v>
      </c>
    </row>
    <row r="36" ht="12.75">
      <c r="I36" s="2">
        <f t="shared" si="0"/>
        <v>5007.01</v>
      </c>
    </row>
    <row r="37" ht="12.75">
      <c r="I37" s="2">
        <f t="shared" si="0"/>
        <v>5007.01</v>
      </c>
    </row>
    <row r="38" ht="12.75">
      <c r="I38" s="2">
        <f t="shared" si="0"/>
        <v>5007.01</v>
      </c>
    </row>
    <row r="39" ht="12.75">
      <c r="I39" s="2">
        <f t="shared" si="0"/>
        <v>5007.01</v>
      </c>
    </row>
    <row r="40" ht="12.75">
      <c r="I40" s="2">
        <f>+I39+H40-G40</f>
        <v>5007.01</v>
      </c>
    </row>
  </sheetData>
  <sheetProtection/>
  <mergeCells count="3">
    <mergeCell ref="A1:I1"/>
    <mergeCell ref="A2:I2"/>
    <mergeCell ref="A3:I3"/>
  </mergeCells>
  <printOptions/>
  <pageMargins left="0.75" right="0.75" top="1" bottom="1" header="0.5" footer="0.5"/>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Q53"/>
  <sheetViews>
    <sheetView zoomScalePageLayoutView="0" workbookViewId="0" topLeftCell="A4">
      <selection activeCell="A4" sqref="A4:J34"/>
    </sheetView>
  </sheetViews>
  <sheetFormatPr defaultColWidth="9.140625" defaultRowHeight="12.75"/>
  <cols>
    <col min="1" max="1" width="24.28125" style="0" customWidth="1"/>
    <col min="2" max="2" width="29.57421875" style="0" customWidth="1"/>
    <col min="3" max="3" width="15.7109375" style="0" hidden="1" customWidth="1"/>
    <col min="4" max="4" width="16.8515625" style="0" hidden="1" customWidth="1"/>
    <col min="5" max="5" width="15.8515625" style="0" bestFit="1" customWidth="1"/>
    <col min="6" max="6" width="15.8515625" style="0" customWidth="1"/>
    <col min="7" max="7" width="15.421875" style="0" hidden="1" customWidth="1"/>
    <col min="8" max="8" width="14.28125" style="0" hidden="1" customWidth="1"/>
    <col min="9" max="9" width="14.8515625" style="0" customWidth="1"/>
    <col min="10" max="10" width="13.28125" style="0" customWidth="1"/>
    <col min="11" max="11" width="29.28125" style="0" customWidth="1"/>
    <col min="12" max="12" width="15.00390625" style="0" customWidth="1"/>
    <col min="13" max="13" width="10.421875" style="0" hidden="1" customWidth="1"/>
    <col min="14" max="14" width="0" style="0" hidden="1" customWidth="1"/>
    <col min="15" max="15" width="2.00390625" style="0" hidden="1" customWidth="1"/>
    <col min="16" max="16" width="9.140625" style="0" hidden="1" customWidth="1"/>
    <col min="17" max="17" width="11.8515625" style="0" bestFit="1" customWidth="1"/>
  </cols>
  <sheetData>
    <row r="1" ht="12.75">
      <c r="A1" s="4"/>
    </row>
    <row r="2" ht="12.75">
      <c r="A2" s="4"/>
    </row>
    <row r="4" spans="1:10" ht="15.75">
      <c r="A4" s="99" t="s">
        <v>18</v>
      </c>
      <c r="B4" s="100"/>
      <c r="C4" s="100"/>
      <c r="D4" s="100"/>
      <c r="E4" s="100"/>
      <c r="F4" s="100"/>
      <c r="G4" s="100"/>
      <c r="H4" s="100"/>
      <c r="I4" s="100"/>
      <c r="J4" s="101"/>
    </row>
    <row r="5" spans="1:10" ht="15.75">
      <c r="A5" s="20"/>
      <c r="B5" s="20"/>
      <c r="C5" s="99" t="s">
        <v>38</v>
      </c>
      <c r="D5" s="100"/>
      <c r="E5" s="101"/>
      <c r="F5" s="39" t="s">
        <v>183</v>
      </c>
      <c r="G5" s="99" t="s">
        <v>43</v>
      </c>
      <c r="H5" s="100"/>
      <c r="I5" s="101"/>
      <c r="J5" s="40" t="s">
        <v>182</v>
      </c>
    </row>
    <row r="6" spans="1:10" ht="15.75" thickBot="1">
      <c r="A6" s="11" t="s">
        <v>12</v>
      </c>
      <c r="B6" s="11" t="s">
        <v>4</v>
      </c>
      <c r="C6" s="12" t="s">
        <v>19</v>
      </c>
      <c r="D6" s="12" t="s">
        <v>20</v>
      </c>
      <c r="E6" s="12"/>
      <c r="F6" s="12"/>
      <c r="G6" s="12" t="s">
        <v>19</v>
      </c>
      <c r="H6" s="12" t="s">
        <v>20</v>
      </c>
      <c r="I6" s="12"/>
      <c r="J6" s="12"/>
    </row>
    <row r="7" spans="1:10" ht="19.5" customHeight="1" thickBot="1">
      <c r="A7" s="105" t="s">
        <v>21</v>
      </c>
      <c r="B7" s="24" t="s">
        <v>22</v>
      </c>
      <c r="C7" s="19">
        <v>27268</v>
      </c>
      <c r="D7" s="19">
        <v>15998.9</v>
      </c>
      <c r="E7" s="19">
        <f>+C7-D7</f>
        <v>11269.1</v>
      </c>
      <c r="F7" s="19">
        <v>8924</v>
      </c>
      <c r="G7" s="23">
        <v>0</v>
      </c>
      <c r="H7" s="23">
        <v>0</v>
      </c>
      <c r="I7" s="23">
        <f>+G7-H7</f>
        <v>0</v>
      </c>
      <c r="J7" s="23">
        <v>0</v>
      </c>
    </row>
    <row r="8" spans="1:10" ht="19.5" customHeight="1" thickBot="1">
      <c r="A8" s="106"/>
      <c r="B8" s="24" t="s">
        <v>40</v>
      </c>
      <c r="C8" s="23"/>
      <c r="D8" s="23"/>
      <c r="E8" s="23"/>
      <c r="F8" s="23"/>
      <c r="G8" s="19">
        <f>9405+5010+12</f>
        <v>14427</v>
      </c>
      <c r="H8" s="19">
        <f>7945.65+15+15+15+50+50+63.87+190.81</f>
        <v>8345.33</v>
      </c>
      <c r="I8" s="19">
        <f aca="true" t="shared" si="0" ref="I8:I28">+G8-H8</f>
        <v>6081.67</v>
      </c>
      <c r="J8" s="19">
        <v>0</v>
      </c>
    </row>
    <row r="9" spans="1:10" ht="19.5" customHeight="1" thickBot="1">
      <c r="A9" s="107"/>
      <c r="B9" s="24" t="s">
        <v>23</v>
      </c>
      <c r="C9" s="19">
        <v>5178</v>
      </c>
      <c r="D9" s="19">
        <v>620.37</v>
      </c>
      <c r="E9" s="19">
        <f aca="true" t="shared" si="1" ref="E9:E28">+C9-D9</f>
        <v>4557.63</v>
      </c>
      <c r="F9" s="19"/>
      <c r="G9" s="19">
        <v>0</v>
      </c>
      <c r="H9" s="19">
        <v>0</v>
      </c>
      <c r="I9" s="19">
        <f t="shared" si="0"/>
        <v>0</v>
      </c>
      <c r="J9" s="19">
        <v>0</v>
      </c>
    </row>
    <row r="10" spans="1:10" ht="19.5" customHeight="1" thickBot="1">
      <c r="A10" s="107"/>
      <c r="B10" s="24" t="s">
        <v>185</v>
      </c>
      <c r="C10" s="19"/>
      <c r="D10" s="19"/>
      <c r="E10" s="19"/>
      <c r="F10" s="19"/>
      <c r="G10" s="19"/>
      <c r="H10" s="19"/>
      <c r="I10" s="19"/>
      <c r="J10" s="19">
        <v>4540.5</v>
      </c>
    </row>
    <row r="11" spans="1:10" ht="19.5" customHeight="1" thickBot="1">
      <c r="A11" s="107"/>
      <c r="B11" s="24" t="s">
        <v>24</v>
      </c>
      <c r="C11" s="19">
        <v>28734.77</v>
      </c>
      <c r="D11" s="19">
        <v>6623.38</v>
      </c>
      <c r="E11" s="19">
        <f t="shared" si="1"/>
        <v>22111.39</v>
      </c>
      <c r="F11" s="19">
        <v>14273.7</v>
      </c>
      <c r="G11" s="19">
        <f>2015+925+900+788+727+220+2424+2154+3703+100+4727+2005+1291.5+98+905+442.5+95+75+100+25</f>
        <v>23720</v>
      </c>
      <c r="H11" s="19">
        <f>791.47+270.9+600+110+390+1795+68+600+575+500+174.67+720+100+21+74.25+191.19+25+24</f>
        <v>7030.48</v>
      </c>
      <c r="I11" s="19">
        <f t="shared" si="0"/>
        <v>16689.52</v>
      </c>
      <c r="J11" s="23">
        <v>11214.61</v>
      </c>
    </row>
    <row r="12" spans="1:10" ht="19.5" customHeight="1" thickBot="1">
      <c r="A12" s="107"/>
      <c r="B12" s="24" t="s">
        <v>25</v>
      </c>
      <c r="C12" s="19">
        <v>14737.11</v>
      </c>
      <c r="D12" s="19">
        <v>2833.14</v>
      </c>
      <c r="E12" s="19">
        <f t="shared" si="1"/>
        <v>11903.970000000001</v>
      </c>
      <c r="F12" s="19">
        <v>3465.9</v>
      </c>
      <c r="G12" s="19">
        <f>1000+50+1860+265+750+1215+480+666.2+2515+650+140+2920+2095+0.25</f>
        <v>14606.45</v>
      </c>
      <c r="H12" s="19">
        <f>225+615+600+2164.5+470+50</f>
        <v>4124.5</v>
      </c>
      <c r="I12" s="19">
        <f t="shared" si="0"/>
        <v>10481.95</v>
      </c>
      <c r="J12" s="23">
        <v>8097.96</v>
      </c>
    </row>
    <row r="13" spans="1:10" ht="19.5" customHeight="1" thickBot="1">
      <c r="A13" s="108"/>
      <c r="B13" s="24" t="s">
        <v>26</v>
      </c>
      <c r="C13" s="19">
        <v>668.75</v>
      </c>
      <c r="D13" s="19">
        <v>0</v>
      </c>
      <c r="E13" s="19">
        <f t="shared" si="1"/>
        <v>668.75</v>
      </c>
      <c r="F13" s="19">
        <v>618.2</v>
      </c>
      <c r="G13" s="19">
        <f>795.9+5.4+0.5</f>
        <v>801.8</v>
      </c>
      <c r="H13" s="19">
        <f>32.82+65.3</f>
        <v>98.12</v>
      </c>
      <c r="I13" s="19">
        <f t="shared" si="0"/>
        <v>703.68</v>
      </c>
      <c r="J13" s="23">
        <v>1619</v>
      </c>
    </row>
    <row r="14" spans="1:10" ht="19.5" customHeight="1" thickBot="1">
      <c r="A14" s="102" t="s">
        <v>27</v>
      </c>
      <c r="B14" s="24" t="s">
        <v>28</v>
      </c>
      <c r="C14" s="19">
        <v>2264</v>
      </c>
      <c r="D14" s="19">
        <v>3285.16</v>
      </c>
      <c r="E14" s="19">
        <f t="shared" si="1"/>
        <v>-1021.1599999999999</v>
      </c>
      <c r="F14" s="19">
        <v>-2220.9</v>
      </c>
      <c r="G14" s="19">
        <f>36+24+48+120+12+60+96+12+12+24+12</f>
        <v>456</v>
      </c>
      <c r="H14" s="19">
        <f>77.72+231+147.8+95.89</f>
        <v>552.4100000000001</v>
      </c>
      <c r="I14" s="19">
        <f t="shared" si="0"/>
        <v>-96.41000000000008</v>
      </c>
      <c r="J14" s="23">
        <v>-788.42</v>
      </c>
    </row>
    <row r="15" spans="1:10" ht="19.5" customHeight="1" thickBot="1">
      <c r="A15" s="103"/>
      <c r="B15" s="24" t="s">
        <v>29</v>
      </c>
      <c r="C15" s="19">
        <v>11321</v>
      </c>
      <c r="D15" s="19">
        <v>7427.25</v>
      </c>
      <c r="E15" s="19">
        <f t="shared" si="1"/>
        <v>3893.75</v>
      </c>
      <c r="F15" s="19"/>
      <c r="G15" s="19">
        <v>0</v>
      </c>
      <c r="H15" s="19">
        <v>0</v>
      </c>
      <c r="I15" s="19">
        <f t="shared" si="0"/>
        <v>0</v>
      </c>
      <c r="J15" s="23">
        <v>0</v>
      </c>
    </row>
    <row r="16" spans="1:10" ht="19.5" customHeight="1" thickBot="1">
      <c r="A16" s="103"/>
      <c r="B16" s="24" t="s">
        <v>30</v>
      </c>
      <c r="C16" s="19">
        <v>2946.57</v>
      </c>
      <c r="D16" s="19">
        <v>2637.13</v>
      </c>
      <c r="E16" s="19">
        <f t="shared" si="1"/>
        <v>309.44000000000005</v>
      </c>
      <c r="F16" s="19"/>
      <c r="G16" s="19">
        <v>0</v>
      </c>
      <c r="H16" s="19">
        <v>0</v>
      </c>
      <c r="I16" s="19">
        <f t="shared" si="0"/>
        <v>0</v>
      </c>
      <c r="J16" s="23">
        <v>0</v>
      </c>
    </row>
    <row r="17" spans="1:10" ht="19.5" customHeight="1" thickBot="1">
      <c r="A17" s="103"/>
      <c r="B17" s="24" t="s">
        <v>31</v>
      </c>
      <c r="C17" s="19">
        <v>1704</v>
      </c>
      <c r="D17" s="19">
        <v>1296</v>
      </c>
      <c r="E17" s="19">
        <f t="shared" si="1"/>
        <v>408</v>
      </c>
      <c r="F17" s="19"/>
      <c r="G17" s="19">
        <v>0</v>
      </c>
      <c r="H17" s="19">
        <v>0</v>
      </c>
      <c r="I17" s="19">
        <f t="shared" si="0"/>
        <v>0</v>
      </c>
      <c r="J17" s="23">
        <v>0</v>
      </c>
    </row>
    <row r="18" spans="1:10" ht="19.5" customHeight="1" thickBot="1">
      <c r="A18" s="103"/>
      <c r="B18" s="24" t="s">
        <v>32</v>
      </c>
      <c r="C18" s="19">
        <v>0</v>
      </c>
      <c r="D18" s="19">
        <v>0</v>
      </c>
      <c r="E18" s="19">
        <f t="shared" si="1"/>
        <v>0</v>
      </c>
      <c r="F18" s="19"/>
      <c r="G18" s="19">
        <v>0</v>
      </c>
      <c r="H18" s="19">
        <v>0</v>
      </c>
      <c r="I18" s="19">
        <f t="shared" si="0"/>
        <v>0</v>
      </c>
      <c r="J18" s="23">
        <v>0</v>
      </c>
    </row>
    <row r="19" spans="1:10" ht="19.5" customHeight="1" thickBot="1">
      <c r="A19" s="103"/>
      <c r="B19" s="24" t="s">
        <v>33</v>
      </c>
      <c r="C19" s="19">
        <v>1793</v>
      </c>
      <c r="D19" s="19">
        <v>3000</v>
      </c>
      <c r="E19" s="19">
        <f t="shared" si="1"/>
        <v>-1207</v>
      </c>
      <c r="F19" s="19"/>
      <c r="G19" s="19">
        <v>0</v>
      </c>
      <c r="H19" s="19">
        <v>0</v>
      </c>
      <c r="I19" s="19">
        <f t="shared" si="0"/>
        <v>0</v>
      </c>
      <c r="J19" s="23">
        <v>0</v>
      </c>
    </row>
    <row r="20" spans="1:10" ht="19.5" customHeight="1" thickBot="1">
      <c r="A20" s="103"/>
      <c r="B20" s="24" t="s">
        <v>44</v>
      </c>
      <c r="C20" s="19"/>
      <c r="D20" s="19"/>
      <c r="E20" s="19"/>
      <c r="F20" s="19">
        <v>773.92</v>
      </c>
      <c r="G20" s="19">
        <f>920+275+275+1085+1812+485+1975+1100+352</f>
        <v>8279</v>
      </c>
      <c r="H20" s="19">
        <v>7260.9</v>
      </c>
      <c r="I20" s="19">
        <f t="shared" si="0"/>
        <v>1018.1000000000004</v>
      </c>
      <c r="J20" s="23">
        <v>-112.45</v>
      </c>
    </row>
    <row r="21" spans="1:10" ht="19.5" customHeight="1" thickBot="1">
      <c r="A21" s="103"/>
      <c r="B21" s="24" t="s">
        <v>34</v>
      </c>
      <c r="C21" s="19">
        <v>0</v>
      </c>
      <c r="D21" s="19">
        <v>4079.81</v>
      </c>
      <c r="E21" s="19">
        <f t="shared" si="1"/>
        <v>-4079.81</v>
      </c>
      <c r="F21" s="19"/>
      <c r="G21" s="19">
        <f>135+135+370+260+45+90+45+45</f>
        <v>1125</v>
      </c>
      <c r="H21" s="19">
        <f>2395.18+1641.32</f>
        <v>4036.5</v>
      </c>
      <c r="I21" s="19">
        <f t="shared" si="0"/>
        <v>-2911.5</v>
      </c>
      <c r="J21" s="23">
        <v>2835.54</v>
      </c>
    </row>
    <row r="22" spans="1:10" ht="19.5" customHeight="1" thickBot="1">
      <c r="A22" s="103"/>
      <c r="B22" s="24" t="s">
        <v>42</v>
      </c>
      <c r="C22" s="19"/>
      <c r="D22" s="19"/>
      <c r="E22" s="19">
        <f t="shared" si="1"/>
        <v>0</v>
      </c>
      <c r="F22" s="19"/>
      <c r="G22" s="19">
        <f>1550+3795+650+1155+1032.5+300+250+1765+1170+530+490+186+40+1965+100+150+185+25+30+2.8</f>
        <v>15371.3</v>
      </c>
      <c r="H22" s="19">
        <f>665+10+498.75+5180.33+829.75+3165.15+4200.65+1.5</f>
        <v>14551.13</v>
      </c>
      <c r="I22" s="19">
        <f t="shared" si="0"/>
        <v>820.1700000000001</v>
      </c>
      <c r="J22" s="23">
        <v>0</v>
      </c>
    </row>
    <row r="23" spans="1:10" ht="19.5" customHeight="1" thickBot="1">
      <c r="A23" s="103"/>
      <c r="B23" s="24" t="s">
        <v>41</v>
      </c>
      <c r="C23" s="19">
        <v>0</v>
      </c>
      <c r="D23" s="19">
        <v>0</v>
      </c>
      <c r="E23" s="19">
        <f>+C23-D23</f>
        <v>0</v>
      </c>
      <c r="F23" s="19">
        <v>-1627.32</v>
      </c>
      <c r="G23" s="19">
        <f>3257.41+1457.87</f>
        <v>4715.28</v>
      </c>
      <c r="H23" s="19">
        <f>1090.19+231.72+470.82+121.13</f>
        <v>1913.8600000000001</v>
      </c>
      <c r="I23" s="19">
        <f>+G23-H23</f>
        <v>2801.4199999999996</v>
      </c>
      <c r="J23" s="23">
        <v>1873.44</v>
      </c>
    </row>
    <row r="24" spans="1:10" ht="19.5" customHeight="1" thickBot="1">
      <c r="A24" s="103"/>
      <c r="B24" s="24" t="s">
        <v>186</v>
      </c>
      <c r="C24" s="19">
        <v>0</v>
      </c>
      <c r="D24" s="19">
        <v>1568.9</v>
      </c>
      <c r="E24" s="19">
        <f t="shared" si="1"/>
        <v>-1568.9</v>
      </c>
      <c r="F24" s="19">
        <f>-825-94.18-1981.43</f>
        <v>-2900.61</v>
      </c>
      <c r="G24" s="19">
        <v>0</v>
      </c>
      <c r="H24" s="19">
        <v>0</v>
      </c>
      <c r="I24" s="19">
        <f t="shared" si="0"/>
        <v>0</v>
      </c>
      <c r="J24" s="23">
        <v>-2103.32</v>
      </c>
    </row>
    <row r="25" spans="1:10" ht="19.5" customHeight="1" thickBot="1">
      <c r="A25" s="103"/>
      <c r="B25" s="24" t="s">
        <v>39</v>
      </c>
      <c r="C25" s="19">
        <v>0</v>
      </c>
      <c r="D25" s="19">
        <v>0</v>
      </c>
      <c r="E25" s="19">
        <f>+C25-D25</f>
        <v>0</v>
      </c>
      <c r="F25" s="19"/>
      <c r="G25" s="19">
        <v>1665</v>
      </c>
      <c r="H25" s="19">
        <v>0</v>
      </c>
      <c r="I25" s="19">
        <f>+G25-H25</f>
        <v>1665</v>
      </c>
      <c r="J25" s="23">
        <v>1460</v>
      </c>
    </row>
    <row r="26" spans="1:10" ht="19.5" customHeight="1" thickBot="1">
      <c r="A26" s="103"/>
      <c r="B26" s="24" t="s">
        <v>35</v>
      </c>
      <c r="C26" s="19">
        <v>0</v>
      </c>
      <c r="D26" s="19">
        <v>4654.17</v>
      </c>
      <c r="E26" s="19">
        <f t="shared" si="1"/>
        <v>-4654.17</v>
      </c>
      <c r="F26" s="19"/>
      <c r="G26" s="19">
        <v>0</v>
      </c>
      <c r="H26" s="19">
        <f>1990.42+1060.35</f>
        <v>3050.77</v>
      </c>
      <c r="I26" s="19">
        <f t="shared" si="0"/>
        <v>-3050.77</v>
      </c>
      <c r="J26" s="23">
        <v>-4252</v>
      </c>
    </row>
    <row r="27" spans="1:10" ht="19.5" customHeight="1" thickBot="1">
      <c r="A27" s="103"/>
      <c r="B27" s="24" t="s">
        <v>239</v>
      </c>
      <c r="C27" s="19"/>
      <c r="D27" s="19"/>
      <c r="E27" s="19"/>
      <c r="F27" s="19"/>
      <c r="G27" s="19"/>
      <c r="H27" s="19"/>
      <c r="I27" s="19"/>
      <c r="J27" s="23">
        <v>450.55</v>
      </c>
    </row>
    <row r="28" spans="1:10" ht="19.5" customHeight="1" thickBot="1">
      <c r="A28" s="104"/>
      <c r="B28" s="24" t="s">
        <v>36</v>
      </c>
      <c r="C28" s="19">
        <v>1096</v>
      </c>
      <c r="D28" s="19">
        <v>2238.23</v>
      </c>
      <c r="E28" s="19">
        <f t="shared" si="1"/>
        <v>-1142.23</v>
      </c>
      <c r="F28" s="19">
        <v>-27652.9</v>
      </c>
      <c r="G28" s="19">
        <v>0</v>
      </c>
      <c r="H28" s="19">
        <f>40.45+208.05+771.15+57.9+21.62+50+40+389.99+507.5+2280+190+400+12.5+250+12.5+12.5+12.5+12.5+12.5+12.5+12.5+12.5+12.5+10.83+250+12.5-38.22</f>
        <v>5566.7699999999995</v>
      </c>
      <c r="I28" s="19">
        <f t="shared" si="0"/>
        <v>-5566.7699999999995</v>
      </c>
      <c r="J28" s="23">
        <v>-2506.45</v>
      </c>
    </row>
    <row r="29" spans="1:10" ht="19.5" customHeight="1" thickBot="1">
      <c r="A29" s="13"/>
      <c r="B29" s="13"/>
      <c r="C29" s="14"/>
      <c r="D29" s="14"/>
      <c r="E29" s="14"/>
      <c r="F29" s="14"/>
      <c r="G29" s="14"/>
      <c r="H29" s="14"/>
      <c r="I29" s="14"/>
      <c r="J29" s="14"/>
    </row>
    <row r="30" spans="1:10" ht="19.5" customHeight="1" thickBot="1">
      <c r="A30" s="21" t="s">
        <v>37</v>
      </c>
      <c r="B30" s="22"/>
      <c r="C30" s="15">
        <f aca="true" t="shared" si="2" ref="C30:J30">SUM(C7:C28)</f>
        <v>97711.20000000001</v>
      </c>
      <c r="D30" s="15">
        <f t="shared" si="2"/>
        <v>56262.439999999995</v>
      </c>
      <c r="E30" s="16">
        <f t="shared" si="2"/>
        <v>41448.759999999995</v>
      </c>
      <c r="F30" s="16">
        <f t="shared" si="2"/>
        <v>-6346.010000000002</v>
      </c>
      <c r="G30" s="15">
        <f t="shared" si="2"/>
        <v>85166.83</v>
      </c>
      <c r="H30" s="15">
        <f t="shared" si="2"/>
        <v>56530.76999999999</v>
      </c>
      <c r="I30" s="16">
        <f t="shared" si="2"/>
        <v>28636.059999999994</v>
      </c>
      <c r="J30" s="16">
        <f t="shared" si="2"/>
        <v>22328.96</v>
      </c>
    </row>
    <row r="31" spans="1:9" ht="12.75">
      <c r="A31" s="17"/>
      <c r="B31" s="17"/>
      <c r="C31" s="14"/>
      <c r="D31" s="14"/>
      <c r="E31" s="18"/>
      <c r="F31" s="18"/>
      <c r="I31" s="25"/>
    </row>
    <row r="32" ht="13.5" thickBot="1"/>
    <row r="33" spans="1:10" ht="13.5" thickBot="1">
      <c r="A33" s="111" t="s">
        <v>187</v>
      </c>
      <c r="B33" s="110"/>
      <c r="C33" s="43"/>
      <c r="D33" s="43"/>
      <c r="E33" s="112">
        <v>49420.51</v>
      </c>
      <c r="F33" s="113"/>
      <c r="G33" s="43"/>
      <c r="H33" s="43"/>
      <c r="I33" s="114">
        <v>36420.16</v>
      </c>
      <c r="J33" s="45">
        <v>22000</v>
      </c>
    </row>
    <row r="34" spans="9:10" ht="12.75">
      <c r="I34" s="1" t="s">
        <v>188</v>
      </c>
      <c r="J34" t="s">
        <v>302</v>
      </c>
    </row>
    <row r="35" ht="12.75">
      <c r="J35" s="1"/>
    </row>
    <row r="36" spans="1:17" ht="15.75">
      <c r="A36" s="97" t="s">
        <v>189</v>
      </c>
      <c r="B36" s="97"/>
      <c r="C36" s="97"/>
      <c r="D36" s="97"/>
      <c r="E36" s="97"/>
      <c r="I36" s="55"/>
      <c r="J36" s="55"/>
      <c r="K36" s="55"/>
      <c r="L36" s="55"/>
      <c r="M36" s="55"/>
      <c r="N36" s="55"/>
      <c r="O36" s="55"/>
      <c r="P36" s="55"/>
      <c r="Q36" s="55"/>
    </row>
    <row r="37" spans="1:17" ht="12.75">
      <c r="A37" s="46" t="s">
        <v>8</v>
      </c>
      <c r="B37" s="46" t="s">
        <v>12</v>
      </c>
      <c r="C37" s="98" t="s">
        <v>4</v>
      </c>
      <c r="D37" s="98"/>
      <c r="E37" s="47" t="s">
        <v>133</v>
      </c>
      <c r="G37" s="47" t="s">
        <v>3</v>
      </c>
      <c r="I37" s="56"/>
      <c r="J37" s="56"/>
      <c r="K37" s="57"/>
      <c r="L37" s="57"/>
      <c r="M37" s="57"/>
      <c r="N37" s="57"/>
      <c r="O37" s="57"/>
      <c r="P37" s="58"/>
      <c r="Q37" s="58"/>
    </row>
    <row r="38" spans="1:17" ht="12.75">
      <c r="A38" s="48">
        <v>39305</v>
      </c>
      <c r="B38" s="49" t="s">
        <v>190</v>
      </c>
      <c r="C38" s="92" t="s">
        <v>191</v>
      </c>
      <c r="D38" s="92"/>
      <c r="E38" s="50">
        <v>417.52</v>
      </c>
      <c r="F38" s="51"/>
      <c r="G38" s="52">
        <v>1698</v>
      </c>
      <c r="H38" s="51"/>
      <c r="I38" s="56"/>
      <c r="J38" s="56"/>
      <c r="K38" s="57"/>
      <c r="L38" s="57"/>
      <c r="M38" s="57"/>
      <c r="N38" s="57"/>
      <c r="O38" s="57"/>
      <c r="P38" s="58"/>
      <c r="Q38" s="58"/>
    </row>
    <row r="39" spans="1:17" ht="12.75">
      <c r="A39" s="48">
        <v>39364</v>
      </c>
      <c r="B39" s="49" t="s">
        <v>215</v>
      </c>
      <c r="C39" s="92" t="s">
        <v>192</v>
      </c>
      <c r="D39" s="92"/>
      <c r="E39" s="53">
        <v>2814.21</v>
      </c>
      <c r="F39" s="51"/>
      <c r="G39" s="54" t="s">
        <v>193</v>
      </c>
      <c r="H39" s="51"/>
      <c r="I39" s="56"/>
      <c r="J39" s="56"/>
      <c r="K39" s="57"/>
      <c r="L39" s="57"/>
      <c r="M39" s="57"/>
      <c r="N39" s="57"/>
      <c r="O39" s="57"/>
      <c r="P39" s="58"/>
      <c r="Q39" s="58"/>
    </row>
    <row r="40" spans="1:17" ht="12.75">
      <c r="A40" s="48">
        <v>39392</v>
      </c>
      <c r="B40" s="49" t="s">
        <v>214</v>
      </c>
      <c r="C40" s="92" t="s">
        <v>194</v>
      </c>
      <c r="D40" s="92"/>
      <c r="E40" s="53">
        <v>1317.26</v>
      </c>
      <c r="G40" s="52">
        <v>1721</v>
      </c>
      <c r="I40" s="56"/>
      <c r="J40" s="56"/>
      <c r="K40" s="57"/>
      <c r="L40" s="57"/>
      <c r="M40" s="57"/>
      <c r="N40" s="57"/>
      <c r="O40" s="57"/>
      <c r="P40" s="58"/>
      <c r="Q40" s="58"/>
    </row>
    <row r="41" spans="1:17" ht="12.75">
      <c r="A41" s="48">
        <v>39392</v>
      </c>
      <c r="B41" s="49" t="s">
        <v>216</v>
      </c>
      <c r="C41" s="92" t="s">
        <v>195</v>
      </c>
      <c r="D41" s="92"/>
      <c r="E41" s="53">
        <v>694.58</v>
      </c>
      <c r="G41" s="52">
        <v>1719</v>
      </c>
      <c r="I41" s="56"/>
      <c r="J41" s="56"/>
      <c r="K41" s="57"/>
      <c r="L41" s="57"/>
      <c r="M41" s="57"/>
      <c r="N41" s="57"/>
      <c r="O41" s="57"/>
      <c r="P41" s="58"/>
      <c r="Q41" s="58"/>
    </row>
    <row r="42" spans="1:17" ht="12.75">
      <c r="A42" s="48">
        <v>39392</v>
      </c>
      <c r="B42" s="49" t="s">
        <v>213</v>
      </c>
      <c r="C42" s="92" t="s">
        <v>196</v>
      </c>
      <c r="D42" s="92"/>
      <c r="E42" s="53">
        <v>2408.84</v>
      </c>
      <c r="G42" s="52">
        <v>1720</v>
      </c>
      <c r="I42" s="56"/>
      <c r="J42" s="56"/>
      <c r="K42" s="57"/>
      <c r="L42" s="57"/>
      <c r="M42" s="57"/>
      <c r="N42" s="57"/>
      <c r="O42" s="57"/>
      <c r="P42" s="58"/>
      <c r="Q42" s="58"/>
    </row>
    <row r="43" spans="1:17" ht="12.75">
      <c r="A43" s="48">
        <v>39503</v>
      </c>
      <c r="B43" s="49" t="s">
        <v>212</v>
      </c>
      <c r="C43" s="92" t="s">
        <v>197</v>
      </c>
      <c r="D43" s="92"/>
      <c r="E43" s="53">
        <v>2400</v>
      </c>
      <c r="G43" s="52">
        <v>1779</v>
      </c>
      <c r="I43" s="56"/>
      <c r="J43" s="56"/>
      <c r="K43" s="57"/>
      <c r="L43" s="57"/>
      <c r="M43" s="59"/>
      <c r="N43" s="57"/>
      <c r="O43" s="57"/>
      <c r="P43" s="58"/>
      <c r="Q43" s="58"/>
    </row>
    <row r="44" spans="1:17" ht="12.75">
      <c r="A44" s="48">
        <v>39503</v>
      </c>
      <c r="B44" s="49" t="s">
        <v>212</v>
      </c>
      <c r="C44" s="92" t="s">
        <v>198</v>
      </c>
      <c r="D44" s="92"/>
      <c r="E44" s="53">
        <v>12623.26</v>
      </c>
      <c r="G44" s="54">
        <v>1780</v>
      </c>
      <c r="I44" s="56"/>
      <c r="J44" s="56"/>
      <c r="K44" s="57"/>
      <c r="L44" s="57"/>
      <c r="M44" s="59"/>
      <c r="N44" s="57"/>
      <c r="O44" s="57"/>
      <c r="P44" s="58"/>
      <c r="Q44" s="58"/>
    </row>
    <row r="45" spans="1:17" ht="12.75">
      <c r="A45" s="48">
        <v>39546</v>
      </c>
      <c r="B45" s="49" t="s">
        <v>211</v>
      </c>
      <c r="C45" s="92" t="s">
        <v>199</v>
      </c>
      <c r="D45" s="92"/>
      <c r="E45" s="53">
        <v>1553.41</v>
      </c>
      <c r="G45" s="54" t="s">
        <v>200</v>
      </c>
      <c r="I45" s="56"/>
      <c r="J45" s="56"/>
      <c r="K45" s="57"/>
      <c r="L45" s="57"/>
      <c r="M45" s="59"/>
      <c r="N45" s="57"/>
      <c r="O45" s="57"/>
      <c r="P45" s="58"/>
      <c r="Q45" s="58"/>
    </row>
    <row r="46" spans="1:17" ht="12.75">
      <c r="A46" s="48">
        <v>39546</v>
      </c>
      <c r="B46" s="49" t="s">
        <v>209</v>
      </c>
      <c r="C46" s="92" t="s">
        <v>201</v>
      </c>
      <c r="D46" s="92"/>
      <c r="E46" s="53">
        <v>2041.43</v>
      </c>
      <c r="G46" s="52">
        <v>1795</v>
      </c>
      <c r="I46" s="56"/>
      <c r="J46" s="56"/>
      <c r="K46" s="57"/>
      <c r="L46" s="57"/>
      <c r="M46" s="59"/>
      <c r="N46" s="57"/>
      <c r="O46" s="57"/>
      <c r="P46" s="58"/>
      <c r="Q46" s="58"/>
    </row>
    <row r="47" spans="1:17" ht="12.75">
      <c r="A47" s="48">
        <v>39569</v>
      </c>
      <c r="B47" s="49" t="s">
        <v>207</v>
      </c>
      <c r="C47" s="92" t="s">
        <v>202</v>
      </c>
      <c r="D47" s="92"/>
      <c r="E47" s="53">
        <v>11070</v>
      </c>
      <c r="G47" s="52">
        <v>1794</v>
      </c>
      <c r="I47" s="56"/>
      <c r="J47" s="56"/>
      <c r="K47" s="57"/>
      <c r="L47" s="57"/>
      <c r="M47" s="59"/>
      <c r="N47" s="57"/>
      <c r="O47" s="57"/>
      <c r="P47" s="58"/>
      <c r="Q47" s="58"/>
    </row>
    <row r="48" spans="1:17" ht="12.75">
      <c r="A48" s="48">
        <v>39569</v>
      </c>
      <c r="B48" s="49" t="s">
        <v>208</v>
      </c>
      <c r="C48" s="92" t="s">
        <v>203</v>
      </c>
      <c r="D48" s="92"/>
      <c r="E48" s="53">
        <v>5000</v>
      </c>
      <c r="G48" s="52">
        <v>1796</v>
      </c>
      <c r="I48" s="56"/>
      <c r="J48" s="56"/>
      <c r="K48" s="57"/>
      <c r="L48" s="57"/>
      <c r="M48" s="59"/>
      <c r="N48" s="57"/>
      <c r="O48" s="57"/>
      <c r="P48" s="58"/>
      <c r="Q48" s="58"/>
    </row>
    <row r="49" spans="1:17" ht="12.75">
      <c r="A49" s="48">
        <v>39569</v>
      </c>
      <c r="B49" s="49" t="s">
        <v>210</v>
      </c>
      <c r="C49" s="92" t="s">
        <v>204</v>
      </c>
      <c r="D49" s="92"/>
      <c r="E49" s="53">
        <v>7080</v>
      </c>
      <c r="G49" s="54" t="s">
        <v>205</v>
      </c>
      <c r="I49" s="56"/>
      <c r="J49" s="56"/>
      <c r="K49" s="57"/>
      <c r="L49" s="57"/>
      <c r="M49" s="59"/>
      <c r="N49" s="57"/>
      <c r="O49" s="57"/>
      <c r="P49" s="58"/>
      <c r="Q49" s="58"/>
    </row>
    <row r="50" spans="9:17" ht="13.5" thickBot="1">
      <c r="I50" s="56"/>
      <c r="J50" s="56"/>
      <c r="K50" s="57"/>
      <c r="L50" s="57"/>
      <c r="M50" s="59"/>
      <c r="N50" s="57"/>
      <c r="O50" s="57"/>
      <c r="P50" s="58"/>
      <c r="Q50" s="58"/>
    </row>
    <row r="51" spans="1:17" ht="13.5" thickBot="1">
      <c r="A51" s="94" t="s">
        <v>37</v>
      </c>
      <c r="B51" s="95"/>
      <c r="C51" s="95"/>
      <c r="D51" s="96"/>
      <c r="E51" s="16">
        <f>SUM(E38:E49)</f>
        <v>49420.509999999995</v>
      </c>
      <c r="I51" s="56"/>
      <c r="J51" s="56"/>
      <c r="K51" s="57"/>
      <c r="L51" s="57"/>
      <c r="M51" s="59"/>
      <c r="N51" s="57"/>
      <c r="O51" s="57"/>
      <c r="P51" s="58"/>
      <c r="Q51" s="58"/>
    </row>
    <row r="52" spans="9:17" ht="12.75">
      <c r="I52" s="55"/>
      <c r="J52" s="55"/>
      <c r="K52" s="55"/>
      <c r="L52" s="55"/>
      <c r="M52" s="55"/>
      <c r="N52" s="55"/>
      <c r="O52" s="55"/>
      <c r="P52" s="55"/>
      <c r="Q52" s="55"/>
    </row>
    <row r="53" spans="1:17" ht="47.25" customHeight="1">
      <c r="A53" s="93" t="s">
        <v>206</v>
      </c>
      <c r="B53" s="93"/>
      <c r="C53" s="93"/>
      <c r="D53" s="93"/>
      <c r="E53" s="93"/>
      <c r="F53" s="93"/>
      <c r="G53" s="93"/>
      <c r="H53" s="93"/>
      <c r="I53" s="55"/>
      <c r="J53" s="55"/>
      <c r="K53" s="55"/>
      <c r="L53" s="55"/>
      <c r="M53" s="55"/>
      <c r="N53" s="55"/>
      <c r="O53" s="55"/>
      <c r="P53" s="55"/>
      <c r="Q53" s="55"/>
    </row>
  </sheetData>
  <sheetProtection/>
  <mergeCells count="21">
    <mergeCell ref="C39:D39"/>
    <mergeCell ref="C40:D40"/>
    <mergeCell ref="C41:D41"/>
    <mergeCell ref="C42:D42"/>
    <mergeCell ref="A4:J4"/>
    <mergeCell ref="A36:E36"/>
    <mergeCell ref="C37:D37"/>
    <mergeCell ref="C38:D38"/>
    <mergeCell ref="G5:I5"/>
    <mergeCell ref="A14:A28"/>
    <mergeCell ref="A7:A13"/>
    <mergeCell ref="C5:E5"/>
    <mergeCell ref="C43:D43"/>
    <mergeCell ref="C44:D44"/>
    <mergeCell ref="C45:D45"/>
    <mergeCell ref="C46:D46"/>
    <mergeCell ref="A53:H53"/>
    <mergeCell ref="C47:D47"/>
    <mergeCell ref="C48:D48"/>
    <mergeCell ref="C49:D49"/>
    <mergeCell ref="A51:D51"/>
  </mergeCells>
  <dataValidations count="1">
    <dataValidation type="list" allowBlank="1" showInputMessage="1" showErrorMessage="1" sqref="J37:J51">
      <formula1>"Check,Deposit,Other"</formula1>
    </dataValidation>
  </dataValidations>
  <printOptions/>
  <pageMargins left="0.4" right="0.26" top="0.32" bottom="0.5" header="0.14" footer="0.5"/>
  <pageSetup horizontalDpi="600" verticalDpi="600" orientation="portrait" scale="84" r:id="rId3"/>
  <legacyDrawing r:id="rId2"/>
</worksheet>
</file>

<file path=xl/worksheets/sheet4.xml><?xml version="1.0" encoding="utf-8"?>
<worksheet xmlns="http://schemas.openxmlformats.org/spreadsheetml/2006/main" xmlns:r="http://schemas.openxmlformats.org/officeDocument/2006/relationships">
  <dimension ref="A1:F110"/>
  <sheetViews>
    <sheetView zoomScalePageLayoutView="0" workbookViewId="0" topLeftCell="A1">
      <selection activeCell="A110" sqref="A109:A110"/>
    </sheetView>
  </sheetViews>
  <sheetFormatPr defaultColWidth="9.140625" defaultRowHeight="12.75" outlineLevelRow="2"/>
  <cols>
    <col min="1" max="1" width="23.8515625" style="0" customWidth="1"/>
    <col min="2" max="2" width="0" style="0" hidden="1" customWidth="1"/>
    <col min="3" max="3" width="10.140625" style="0" hidden="1" customWidth="1"/>
    <col min="4" max="4" width="23.7109375" style="0" hidden="1" customWidth="1"/>
    <col min="5" max="5" width="40.57421875" style="0" hidden="1" customWidth="1"/>
    <col min="6" max="6" width="11.28125" style="0" bestFit="1" customWidth="1"/>
  </cols>
  <sheetData>
    <row r="1" ht="12.75">
      <c r="A1" s="4" t="s">
        <v>155</v>
      </c>
    </row>
    <row r="2" ht="12.75">
      <c r="A2" s="4" t="s">
        <v>156</v>
      </c>
    </row>
    <row r="4" spans="1:6" ht="12.75">
      <c r="A4" s="35" t="s">
        <v>12</v>
      </c>
      <c r="F4" s="35" t="s">
        <v>153</v>
      </c>
    </row>
    <row r="5" spans="1:6" ht="12.75" hidden="1" outlineLevel="2">
      <c r="A5" s="1" t="s">
        <v>119</v>
      </c>
      <c r="B5" s="1">
        <v>1967</v>
      </c>
      <c r="C5" s="1"/>
      <c r="D5" t="s">
        <v>120</v>
      </c>
      <c r="E5" t="s">
        <v>121</v>
      </c>
      <c r="F5" s="2">
        <v>-506.25</v>
      </c>
    </row>
    <row r="6" spans="1:6" ht="12.75" outlineLevel="1" collapsed="1">
      <c r="A6" s="28" t="s">
        <v>134</v>
      </c>
      <c r="B6" s="1"/>
      <c r="C6" s="1"/>
      <c r="F6" s="2">
        <f>SUBTOTAL(9,F5:F5)</f>
        <v>-506.25</v>
      </c>
    </row>
    <row r="7" spans="1:6" ht="12.75" hidden="1" outlineLevel="2">
      <c r="A7" s="1" t="s">
        <v>26</v>
      </c>
      <c r="B7" s="1"/>
      <c r="C7" s="10">
        <v>40561</v>
      </c>
      <c r="D7" t="s">
        <v>5</v>
      </c>
      <c r="E7" t="s">
        <v>127</v>
      </c>
      <c r="F7" s="2">
        <v>1306.1</v>
      </c>
    </row>
    <row r="8" spans="1:6" ht="12.75" outlineLevel="1" collapsed="1">
      <c r="A8" s="27" t="s">
        <v>130</v>
      </c>
      <c r="B8" s="1"/>
      <c r="C8" s="10"/>
      <c r="F8" s="2">
        <f>SUBTOTAL(9,F7:F7)</f>
        <v>1306.1</v>
      </c>
    </row>
    <row r="9" spans="1:6" ht="12.75" hidden="1" outlineLevel="2">
      <c r="A9" s="1" t="s">
        <v>56</v>
      </c>
      <c r="B9" s="1"/>
      <c r="C9" s="10">
        <v>40465</v>
      </c>
      <c r="D9" t="s">
        <v>5</v>
      </c>
      <c r="E9" t="s">
        <v>58</v>
      </c>
      <c r="F9" s="3">
        <v>35</v>
      </c>
    </row>
    <row r="10" spans="1:6" ht="12.75" hidden="1" outlineLevel="2">
      <c r="A10" s="1" t="s">
        <v>56</v>
      </c>
      <c r="B10" s="1"/>
      <c r="C10" s="10">
        <v>40470</v>
      </c>
      <c r="D10" t="s">
        <v>5</v>
      </c>
      <c r="E10" t="s">
        <v>58</v>
      </c>
      <c r="F10" s="3">
        <v>850</v>
      </c>
    </row>
    <row r="11" spans="1:6" ht="12.75" hidden="1" outlineLevel="2">
      <c r="A11" s="1" t="s">
        <v>56</v>
      </c>
      <c r="B11" s="1"/>
      <c r="C11" s="10">
        <v>40484</v>
      </c>
      <c r="D11" t="s">
        <v>5</v>
      </c>
      <c r="E11" t="s">
        <v>58</v>
      </c>
      <c r="F11" s="3">
        <v>450</v>
      </c>
    </row>
    <row r="12" spans="1:6" ht="12.75" hidden="1" outlineLevel="2">
      <c r="A12" s="1" t="s">
        <v>56</v>
      </c>
      <c r="B12" s="1"/>
      <c r="C12" s="10">
        <v>40592</v>
      </c>
      <c r="D12" t="s">
        <v>5</v>
      </c>
      <c r="F12" s="2">
        <v>125</v>
      </c>
    </row>
    <row r="13" spans="1:6" ht="12.75" outlineLevel="1" collapsed="1">
      <c r="A13" s="27" t="s">
        <v>71</v>
      </c>
      <c r="B13" s="1"/>
      <c r="C13" s="10"/>
      <c r="F13" s="2">
        <f>SUBTOTAL(9,F9:F12)</f>
        <v>1460</v>
      </c>
    </row>
    <row r="14" spans="1:6" ht="12.75" hidden="1" outlineLevel="2">
      <c r="A14" s="1" t="s">
        <v>25</v>
      </c>
      <c r="B14" s="1"/>
      <c r="C14" s="10">
        <v>40561</v>
      </c>
      <c r="D14" t="s">
        <v>5</v>
      </c>
      <c r="E14" t="s">
        <v>128</v>
      </c>
      <c r="F14" s="2">
        <v>745</v>
      </c>
    </row>
    <row r="15" spans="1:6" ht="12.75" hidden="1" outlineLevel="2">
      <c r="A15" s="1" t="s">
        <v>25</v>
      </c>
      <c r="B15" s="1"/>
      <c r="C15" s="10">
        <v>40592</v>
      </c>
      <c r="D15" t="s">
        <v>5</v>
      </c>
      <c r="F15" s="2">
        <v>4602.46</v>
      </c>
    </row>
    <row r="16" spans="1:6" ht="12.75" hidden="1" outlineLevel="2">
      <c r="A16" s="1" t="s">
        <v>25</v>
      </c>
      <c r="B16" s="1">
        <v>1977</v>
      </c>
      <c r="C16" s="10">
        <v>40596</v>
      </c>
      <c r="D16" t="s">
        <v>142</v>
      </c>
      <c r="E16" t="s">
        <v>143</v>
      </c>
      <c r="F16" s="2">
        <v>-1001.5</v>
      </c>
    </row>
    <row r="17" spans="1:6" ht="12.75" hidden="1" outlineLevel="2">
      <c r="A17" s="1" t="s">
        <v>25</v>
      </c>
      <c r="B17" s="1">
        <v>1979</v>
      </c>
      <c r="C17" s="10">
        <v>40598</v>
      </c>
      <c r="D17" t="s">
        <v>145</v>
      </c>
      <c r="E17" t="s">
        <v>146</v>
      </c>
      <c r="F17" s="2">
        <v>-323.8</v>
      </c>
    </row>
    <row r="18" spans="1:6" ht="12.75" hidden="1" outlineLevel="2">
      <c r="A18" s="1" t="s">
        <v>25</v>
      </c>
      <c r="B18" s="1">
        <v>1980</v>
      </c>
      <c r="C18" s="10">
        <v>40599</v>
      </c>
      <c r="D18" t="s">
        <v>149</v>
      </c>
      <c r="E18" t="s">
        <v>148</v>
      </c>
      <c r="F18" s="2">
        <v>-600</v>
      </c>
    </row>
    <row r="19" spans="1:6" ht="12.75" hidden="1" outlineLevel="2">
      <c r="A19" s="1" t="s">
        <v>25</v>
      </c>
      <c r="B19" s="1"/>
      <c r="C19" s="10">
        <v>40603</v>
      </c>
      <c r="D19" t="s">
        <v>5</v>
      </c>
      <c r="E19" t="s">
        <v>25</v>
      </c>
      <c r="F19" s="2">
        <v>2960</v>
      </c>
    </row>
    <row r="20" spans="1:6" ht="12.75" hidden="1" outlineLevel="2">
      <c r="A20" s="1" t="s">
        <v>25</v>
      </c>
      <c r="B20" s="1">
        <v>1981</v>
      </c>
      <c r="C20" s="10">
        <v>40603</v>
      </c>
      <c r="D20" t="s">
        <v>150</v>
      </c>
      <c r="E20" t="s">
        <v>152</v>
      </c>
      <c r="F20" s="2">
        <v>-50</v>
      </c>
    </row>
    <row r="21" spans="1:6" ht="12.75" hidden="1" outlineLevel="2">
      <c r="A21" s="1" t="s">
        <v>25</v>
      </c>
      <c r="B21" s="1"/>
      <c r="C21" s="10"/>
      <c r="F21" s="2">
        <v>-1500</v>
      </c>
    </row>
    <row r="22" spans="1:6" ht="12.75" hidden="1" outlineLevel="2">
      <c r="A22" s="1" t="s">
        <v>25</v>
      </c>
      <c r="B22" s="1">
        <v>1982</v>
      </c>
      <c r="C22" s="10">
        <v>40603</v>
      </c>
      <c r="D22" t="s">
        <v>151</v>
      </c>
      <c r="E22" t="s">
        <v>152</v>
      </c>
      <c r="F22" s="2">
        <v>-344</v>
      </c>
    </row>
    <row r="23" spans="1:6" ht="12.75" outlineLevel="1" collapsed="1">
      <c r="A23" s="27" t="s">
        <v>131</v>
      </c>
      <c r="B23" s="1"/>
      <c r="C23" s="10"/>
      <c r="F23" s="2">
        <f>SUBTOTAL(9,F14:F22)</f>
        <v>4488.16</v>
      </c>
    </row>
    <row r="24" spans="1:6" ht="12.75" hidden="1" outlineLevel="2">
      <c r="A24" s="1" t="s">
        <v>68</v>
      </c>
      <c r="B24" s="1"/>
      <c r="C24" s="10">
        <v>40470</v>
      </c>
      <c r="D24" t="s">
        <v>5</v>
      </c>
      <c r="E24" t="s">
        <v>66</v>
      </c>
      <c r="F24" s="3">
        <v>8817</v>
      </c>
    </row>
    <row r="25" spans="1:6" ht="12.75" hidden="1" outlineLevel="2">
      <c r="A25" s="1" t="s">
        <v>68</v>
      </c>
      <c r="B25" s="1">
        <v>1947</v>
      </c>
      <c r="C25" s="10">
        <v>40470</v>
      </c>
      <c r="D25" t="s">
        <v>65</v>
      </c>
      <c r="E25" t="s">
        <v>67</v>
      </c>
      <c r="F25" s="2">
        <v>-4784.5</v>
      </c>
    </row>
    <row r="26" spans="1:6" ht="12.75" hidden="1" outlineLevel="2">
      <c r="A26" s="1" t="s">
        <v>68</v>
      </c>
      <c r="B26" s="1"/>
      <c r="C26" s="10">
        <v>40484</v>
      </c>
      <c r="D26" t="s">
        <v>5</v>
      </c>
      <c r="E26" t="s">
        <v>66</v>
      </c>
      <c r="F26" s="3">
        <v>32.5</v>
      </c>
    </row>
    <row r="27" spans="1:6" ht="12.75" hidden="1" outlineLevel="2">
      <c r="A27" s="1" t="s">
        <v>68</v>
      </c>
      <c r="B27" s="1"/>
      <c r="C27" s="10">
        <v>40499</v>
      </c>
      <c r="D27" t="s">
        <v>5</v>
      </c>
      <c r="E27" t="s">
        <v>66</v>
      </c>
      <c r="F27" s="3">
        <v>14.8</v>
      </c>
    </row>
    <row r="28" spans="1:6" ht="12.75" hidden="1" outlineLevel="2">
      <c r="A28" s="1" t="s">
        <v>68</v>
      </c>
      <c r="B28" s="1"/>
      <c r="C28" s="10">
        <v>40505</v>
      </c>
      <c r="D28" t="s">
        <v>5</v>
      </c>
      <c r="E28" t="s">
        <v>66</v>
      </c>
      <c r="F28" s="3">
        <v>673</v>
      </c>
    </row>
    <row r="29" spans="1:6" ht="12.75" hidden="1" outlineLevel="2">
      <c r="A29" s="1" t="s">
        <v>68</v>
      </c>
      <c r="B29" s="1"/>
      <c r="C29" s="10">
        <v>40519</v>
      </c>
      <c r="D29" t="s">
        <v>5</v>
      </c>
      <c r="E29" t="s">
        <v>66</v>
      </c>
      <c r="F29" s="3">
        <v>32.5</v>
      </c>
    </row>
    <row r="30" spans="1:6" ht="12.75" hidden="1" outlineLevel="2">
      <c r="A30" s="1" t="s">
        <v>68</v>
      </c>
      <c r="B30" s="1">
        <v>1972</v>
      </c>
      <c r="C30" s="10">
        <v>40582</v>
      </c>
      <c r="D30" t="s">
        <v>60</v>
      </c>
      <c r="E30" t="s">
        <v>137</v>
      </c>
      <c r="F30" s="2">
        <v>-244.8</v>
      </c>
    </row>
    <row r="31" spans="1:6" ht="12.75" outlineLevel="1" collapsed="1">
      <c r="A31" s="27" t="s">
        <v>72</v>
      </c>
      <c r="B31" s="1"/>
      <c r="C31" s="10"/>
      <c r="F31" s="2">
        <f>SUBTOTAL(9,F24:F30)</f>
        <v>4540.5</v>
      </c>
    </row>
    <row r="32" spans="1:6" ht="12.75" hidden="1" outlineLevel="2">
      <c r="A32" s="1" t="s">
        <v>92</v>
      </c>
      <c r="B32" s="1">
        <v>1954</v>
      </c>
      <c r="C32" s="10">
        <v>40515</v>
      </c>
      <c r="D32" t="s">
        <v>90</v>
      </c>
      <c r="E32" t="s">
        <v>100</v>
      </c>
      <c r="F32" s="2">
        <v>-41.14</v>
      </c>
    </row>
    <row r="33" spans="1:6" ht="12.75" hidden="1" outlineLevel="2">
      <c r="A33" s="1" t="s">
        <v>92</v>
      </c>
      <c r="B33" s="1"/>
      <c r="C33" s="10">
        <v>40526</v>
      </c>
      <c r="D33" t="s">
        <v>117</v>
      </c>
      <c r="E33" t="s">
        <v>108</v>
      </c>
      <c r="F33" s="3">
        <v>1901</v>
      </c>
    </row>
    <row r="34" spans="1:6" ht="12.75" hidden="1" outlineLevel="2">
      <c r="A34" s="1" t="s">
        <v>92</v>
      </c>
      <c r="B34" s="1">
        <v>1968</v>
      </c>
      <c r="C34" s="10">
        <v>40561</v>
      </c>
      <c r="D34" t="s">
        <v>0</v>
      </c>
      <c r="E34" t="s">
        <v>129</v>
      </c>
      <c r="F34" s="2">
        <v>-20</v>
      </c>
    </row>
    <row r="35" spans="1:6" ht="12.75" hidden="1" outlineLevel="2">
      <c r="A35" s="1" t="s">
        <v>92</v>
      </c>
      <c r="B35" s="1"/>
      <c r="C35" s="10">
        <v>40592</v>
      </c>
      <c r="D35" t="s">
        <v>5</v>
      </c>
      <c r="E35" t="s">
        <v>135</v>
      </c>
      <c r="F35" s="2">
        <v>478.2</v>
      </c>
    </row>
    <row r="36" spans="1:6" ht="12.75" hidden="1" outlineLevel="2">
      <c r="A36" s="1" t="s">
        <v>92</v>
      </c>
      <c r="B36" s="1">
        <v>1969</v>
      </c>
      <c r="C36" s="10">
        <v>40582</v>
      </c>
      <c r="D36" t="s">
        <v>0</v>
      </c>
      <c r="E36" t="s">
        <v>136</v>
      </c>
      <c r="F36" s="2">
        <v>-100</v>
      </c>
    </row>
    <row r="37" spans="1:6" ht="12.75" outlineLevel="1" collapsed="1">
      <c r="A37" s="27" t="s">
        <v>106</v>
      </c>
      <c r="B37" s="1"/>
      <c r="C37" s="10"/>
      <c r="F37" s="2">
        <f>SUBTOTAL(9,F32:F36)</f>
        <v>2218.06</v>
      </c>
    </row>
    <row r="38" spans="1:6" ht="12.75" hidden="1" outlineLevel="2">
      <c r="A38" s="1" t="s">
        <v>13</v>
      </c>
      <c r="B38" s="1"/>
      <c r="C38" s="10"/>
      <c r="E38" s="4" t="s">
        <v>52</v>
      </c>
      <c r="F38" s="2">
        <v>7512.21</v>
      </c>
    </row>
    <row r="39" spans="1:6" ht="12.75" hidden="1" outlineLevel="2">
      <c r="A39" s="1" t="s">
        <v>13</v>
      </c>
      <c r="B39" s="1"/>
      <c r="C39" s="10"/>
      <c r="E39" t="s">
        <v>124</v>
      </c>
      <c r="F39" s="2">
        <v>-302.5</v>
      </c>
    </row>
    <row r="40" spans="1:6" ht="12.75" hidden="1" outlineLevel="2">
      <c r="A40" s="1" t="s">
        <v>13</v>
      </c>
      <c r="B40" s="1"/>
      <c r="C40" s="10">
        <v>40359</v>
      </c>
      <c r="D40" s="5" t="s">
        <v>51</v>
      </c>
      <c r="E40" t="s">
        <v>50</v>
      </c>
      <c r="F40" s="2">
        <v>-12.5</v>
      </c>
    </row>
    <row r="41" spans="1:6" ht="12.75" hidden="1" outlineLevel="2">
      <c r="A41" s="1" t="s">
        <v>13</v>
      </c>
      <c r="B41" s="1"/>
      <c r="C41" s="10">
        <v>40389</v>
      </c>
      <c r="D41" s="5" t="s">
        <v>51</v>
      </c>
      <c r="E41" t="s">
        <v>50</v>
      </c>
      <c r="F41" s="2">
        <v>-12.5</v>
      </c>
    </row>
    <row r="42" spans="1:6" ht="12.75" hidden="1" outlineLevel="2">
      <c r="A42" s="1" t="s">
        <v>13</v>
      </c>
      <c r="B42" s="1">
        <v>1938</v>
      </c>
      <c r="C42" s="10">
        <v>40421</v>
      </c>
      <c r="D42" s="5"/>
      <c r="E42" t="s">
        <v>9</v>
      </c>
      <c r="F42" s="2">
        <v>0</v>
      </c>
    </row>
    <row r="43" spans="1:6" ht="12.75" hidden="1" outlineLevel="2">
      <c r="A43" s="1" t="s">
        <v>13</v>
      </c>
      <c r="B43" s="1"/>
      <c r="C43" s="10">
        <v>40421</v>
      </c>
      <c r="D43" s="5" t="s">
        <v>51</v>
      </c>
      <c r="E43" t="s">
        <v>50</v>
      </c>
      <c r="F43" s="2">
        <v>-12.5</v>
      </c>
    </row>
    <row r="44" spans="1:6" ht="12.75" hidden="1" outlineLevel="2">
      <c r="A44" s="1" t="s">
        <v>13</v>
      </c>
      <c r="B44" s="1">
        <v>1939</v>
      </c>
      <c r="C44" s="10">
        <v>40422</v>
      </c>
      <c r="D44" t="s">
        <v>0</v>
      </c>
      <c r="E44" t="s">
        <v>11</v>
      </c>
      <c r="F44" s="2">
        <v>-35</v>
      </c>
    </row>
    <row r="45" spans="1:6" ht="12.75" hidden="1" outlineLevel="2">
      <c r="A45" s="1" t="s">
        <v>13</v>
      </c>
      <c r="B45" s="1">
        <v>1940</v>
      </c>
      <c r="C45" s="10">
        <v>40431</v>
      </c>
      <c r="D45" t="s">
        <v>14</v>
      </c>
      <c r="E45" t="s">
        <v>15</v>
      </c>
      <c r="F45" s="2">
        <v>-250</v>
      </c>
    </row>
    <row r="46" spans="1:6" ht="12.75" hidden="1" outlineLevel="2">
      <c r="A46" s="1" t="s">
        <v>13</v>
      </c>
      <c r="B46" s="1"/>
      <c r="C46" s="10">
        <v>40451</v>
      </c>
      <c r="D46" t="s">
        <v>51</v>
      </c>
      <c r="E46" t="s">
        <v>50</v>
      </c>
      <c r="F46" s="2">
        <v>-12.5</v>
      </c>
    </row>
    <row r="47" spans="1:6" ht="12.75" hidden="1" outlineLevel="2">
      <c r="A47" s="1" t="s">
        <v>13</v>
      </c>
      <c r="B47" s="1">
        <v>1942</v>
      </c>
      <c r="C47" s="10">
        <v>40457</v>
      </c>
      <c r="D47" t="s">
        <v>47</v>
      </c>
      <c r="E47" t="s">
        <v>48</v>
      </c>
      <c r="F47" s="2">
        <v>-52.07</v>
      </c>
    </row>
    <row r="48" spans="1:6" ht="12.75" hidden="1" outlineLevel="2">
      <c r="A48" s="1" t="s">
        <v>13</v>
      </c>
      <c r="B48" s="1">
        <v>1944</v>
      </c>
      <c r="C48" s="10">
        <v>40463</v>
      </c>
      <c r="D48" t="s">
        <v>60</v>
      </c>
      <c r="E48" t="s">
        <v>61</v>
      </c>
      <c r="F48" s="2">
        <v>-22.5</v>
      </c>
    </row>
    <row r="49" spans="1:6" ht="12.75" hidden="1" outlineLevel="2">
      <c r="A49" s="1" t="s">
        <v>13</v>
      </c>
      <c r="B49" s="1"/>
      <c r="C49" s="10">
        <v>40481</v>
      </c>
      <c r="D49" t="s">
        <v>51</v>
      </c>
      <c r="E49" t="s">
        <v>50</v>
      </c>
      <c r="F49" s="2">
        <v>-12.5</v>
      </c>
    </row>
    <row r="50" spans="1:6" ht="12.75" hidden="1" outlineLevel="2">
      <c r="A50" s="1" t="s">
        <v>13</v>
      </c>
      <c r="B50" s="1">
        <v>1948</v>
      </c>
      <c r="C50" s="10">
        <v>40491</v>
      </c>
      <c r="D50" t="s">
        <v>83</v>
      </c>
      <c r="E50" t="s">
        <v>61</v>
      </c>
      <c r="F50" s="2">
        <v>-20</v>
      </c>
    </row>
    <row r="51" spans="1:6" ht="12.75" hidden="1" outlineLevel="2">
      <c r="A51" s="1" t="s">
        <v>13</v>
      </c>
      <c r="B51" s="1"/>
      <c r="C51" s="10">
        <v>40512</v>
      </c>
      <c r="D51" t="s">
        <v>51</v>
      </c>
      <c r="E51" t="s">
        <v>50</v>
      </c>
      <c r="F51" s="2">
        <v>-12.5</v>
      </c>
    </row>
    <row r="52" spans="1:6" ht="12.75" hidden="1" outlineLevel="2">
      <c r="A52" s="1" t="s">
        <v>13</v>
      </c>
      <c r="B52" s="1"/>
      <c r="C52" s="10">
        <v>40542</v>
      </c>
      <c r="D52" t="s">
        <v>51</v>
      </c>
      <c r="E52" t="s">
        <v>50</v>
      </c>
      <c r="F52" s="2">
        <v>-12.5</v>
      </c>
    </row>
    <row r="53" spans="1:6" ht="12.75" hidden="1" outlineLevel="2">
      <c r="A53" s="1" t="s">
        <v>13</v>
      </c>
      <c r="B53" s="1">
        <v>1970</v>
      </c>
      <c r="C53" s="10">
        <v>40582</v>
      </c>
      <c r="D53" t="s">
        <v>9</v>
      </c>
      <c r="F53" s="2">
        <v>0</v>
      </c>
    </row>
    <row r="54" spans="1:6" ht="12.75" hidden="1" outlineLevel="2">
      <c r="A54" s="1" t="s">
        <v>13</v>
      </c>
      <c r="B54" s="1">
        <v>1971</v>
      </c>
      <c r="C54" s="10">
        <v>40582</v>
      </c>
      <c r="D54" t="s">
        <v>60</v>
      </c>
      <c r="E54" t="s">
        <v>61</v>
      </c>
      <c r="F54" s="2">
        <v>-25</v>
      </c>
    </row>
    <row r="55" spans="1:6" ht="12.75" hidden="1" outlineLevel="2">
      <c r="A55" s="1" t="s">
        <v>13</v>
      </c>
      <c r="B55" s="1">
        <v>1973</v>
      </c>
      <c r="C55" s="10">
        <v>40582</v>
      </c>
      <c r="D55" t="s">
        <v>138</v>
      </c>
      <c r="E55" t="s">
        <v>139</v>
      </c>
      <c r="F55" s="2">
        <v>-20</v>
      </c>
    </row>
    <row r="56" spans="1:6" ht="12.75" hidden="1" outlineLevel="2">
      <c r="A56" s="1" t="s">
        <v>13</v>
      </c>
      <c r="B56" s="1">
        <v>1974</v>
      </c>
      <c r="C56" s="1"/>
      <c r="F56" s="2">
        <v>-58.75</v>
      </c>
    </row>
    <row r="57" spans="1:6" ht="12.75" hidden="1" outlineLevel="2">
      <c r="A57" s="1" t="s">
        <v>13</v>
      </c>
      <c r="B57" s="1">
        <v>1975</v>
      </c>
      <c r="C57" s="10">
        <v>40588</v>
      </c>
      <c r="D57" t="s">
        <v>140</v>
      </c>
      <c r="E57" t="s">
        <v>141</v>
      </c>
      <c r="F57" s="2">
        <v>-138.13</v>
      </c>
    </row>
    <row r="58" spans="1:6" ht="12.75" hidden="1" outlineLevel="2">
      <c r="A58" s="1" t="s">
        <v>13</v>
      </c>
      <c r="B58" s="1">
        <v>1976</v>
      </c>
      <c r="C58" s="1"/>
      <c r="D58" t="s">
        <v>147</v>
      </c>
      <c r="F58" s="2">
        <v>0</v>
      </c>
    </row>
    <row r="59" spans="1:6" ht="12.75" hidden="1" outlineLevel="2">
      <c r="A59" s="1" t="s">
        <v>13</v>
      </c>
      <c r="B59" s="1"/>
      <c r="C59" s="1"/>
      <c r="F59" s="2">
        <v>-49.96</v>
      </c>
    </row>
    <row r="60" spans="1:6" ht="12.75" outlineLevel="1" collapsed="1">
      <c r="A60" s="27" t="s">
        <v>73</v>
      </c>
      <c r="B60" s="1"/>
      <c r="C60" s="1"/>
      <c r="F60" s="2">
        <f>SUBTOTAL(9,F38:F59)</f>
        <v>6450.8</v>
      </c>
    </row>
    <row r="61" spans="1:6" ht="12.75" hidden="1" outlineLevel="2">
      <c r="A61" s="1" t="s">
        <v>28</v>
      </c>
      <c r="B61" s="1">
        <v>1943</v>
      </c>
      <c r="C61" s="10">
        <v>40463</v>
      </c>
      <c r="D61" t="s">
        <v>49</v>
      </c>
      <c r="E61" t="s">
        <v>55</v>
      </c>
      <c r="F61" s="2">
        <v>-165.42</v>
      </c>
    </row>
    <row r="62" spans="1:6" ht="12.75" hidden="1" outlineLevel="2">
      <c r="A62" s="1" t="s">
        <v>28</v>
      </c>
      <c r="B62" s="1"/>
      <c r="C62" s="10">
        <v>40465</v>
      </c>
      <c r="D62" t="s">
        <v>5</v>
      </c>
      <c r="E62" t="s">
        <v>59</v>
      </c>
      <c r="F62" s="3">
        <v>58</v>
      </c>
    </row>
    <row r="63" spans="1:6" ht="12.75" hidden="1" outlineLevel="2">
      <c r="A63" s="1" t="s">
        <v>28</v>
      </c>
      <c r="B63" s="1">
        <v>1945</v>
      </c>
      <c r="C63" s="10">
        <v>40470</v>
      </c>
      <c r="E63" t="s">
        <v>62</v>
      </c>
      <c r="F63" s="2">
        <v>-1176</v>
      </c>
    </row>
    <row r="64" spans="1:6" ht="12.75" hidden="1" outlineLevel="2">
      <c r="A64" s="1" t="s">
        <v>28</v>
      </c>
      <c r="B64" s="1"/>
      <c r="C64" s="10">
        <v>40470</v>
      </c>
      <c r="D64" t="s">
        <v>5</v>
      </c>
      <c r="E64" t="s">
        <v>62</v>
      </c>
      <c r="F64" s="3">
        <v>180</v>
      </c>
    </row>
    <row r="65" spans="1:6" ht="12.75" hidden="1" outlineLevel="2">
      <c r="A65" s="1" t="s">
        <v>28</v>
      </c>
      <c r="B65" s="1"/>
      <c r="C65" s="10">
        <v>40484</v>
      </c>
      <c r="D65" t="s">
        <v>5</v>
      </c>
      <c r="E65" t="s">
        <v>59</v>
      </c>
      <c r="F65" s="3">
        <v>61</v>
      </c>
    </row>
    <row r="66" spans="1:6" ht="12.75" hidden="1" outlineLevel="2">
      <c r="A66" s="1" t="s">
        <v>28</v>
      </c>
      <c r="B66" s="1"/>
      <c r="C66" s="10">
        <v>40499</v>
      </c>
      <c r="D66" t="s">
        <v>5</v>
      </c>
      <c r="E66" t="s">
        <v>62</v>
      </c>
      <c r="F66" s="3">
        <v>74</v>
      </c>
    </row>
    <row r="67" spans="1:6" ht="12.75" hidden="1" outlineLevel="2">
      <c r="A67" s="1" t="s">
        <v>28</v>
      </c>
      <c r="B67" s="1"/>
      <c r="C67" s="10">
        <v>40526</v>
      </c>
      <c r="D67" t="s">
        <v>5</v>
      </c>
      <c r="E67" t="s">
        <v>62</v>
      </c>
      <c r="F67" s="3">
        <v>36</v>
      </c>
    </row>
    <row r="68" spans="1:6" ht="12.75" hidden="1" outlineLevel="2">
      <c r="A68" s="1" t="s">
        <v>28</v>
      </c>
      <c r="B68" s="1"/>
      <c r="C68" s="10"/>
      <c r="D68" t="s">
        <v>117</v>
      </c>
      <c r="E68" t="s">
        <v>62</v>
      </c>
      <c r="F68" s="3">
        <v>36</v>
      </c>
    </row>
    <row r="69" spans="1:6" ht="12.75" hidden="1" outlineLevel="2">
      <c r="A69" s="1" t="s">
        <v>28</v>
      </c>
      <c r="B69" s="1"/>
      <c r="C69" s="10">
        <v>40592</v>
      </c>
      <c r="D69" t="s">
        <v>5</v>
      </c>
      <c r="E69" t="s">
        <v>62</v>
      </c>
      <c r="F69" s="2">
        <v>36</v>
      </c>
    </row>
    <row r="70" spans="1:6" ht="12.75" outlineLevel="1" collapsed="1">
      <c r="A70" s="27" t="s">
        <v>74</v>
      </c>
      <c r="B70" s="1"/>
      <c r="C70" s="10"/>
      <c r="F70" s="2">
        <f>SUBTOTAL(9,F61:F69)</f>
        <v>-860.4200000000001</v>
      </c>
    </row>
    <row r="71" spans="1:6" ht="12.75" hidden="1" outlineLevel="2">
      <c r="A71" s="1" t="s">
        <v>69</v>
      </c>
      <c r="B71" s="1">
        <v>1946</v>
      </c>
      <c r="C71" s="10">
        <v>40468</v>
      </c>
      <c r="D71" t="s">
        <v>63</v>
      </c>
      <c r="E71" t="s">
        <v>64</v>
      </c>
      <c r="F71" s="2">
        <v>-350</v>
      </c>
    </row>
    <row r="72" spans="1:6" ht="12.75" outlineLevel="1" collapsed="1">
      <c r="A72" s="27" t="s">
        <v>154</v>
      </c>
      <c r="B72" s="1"/>
      <c r="C72" s="10"/>
      <c r="F72" s="2">
        <f>SUBTOTAL(9,F71:F71)</f>
        <v>-350</v>
      </c>
    </row>
    <row r="73" spans="1:6" ht="12.75" hidden="1" outlineLevel="2">
      <c r="A73" s="1" t="s">
        <v>35</v>
      </c>
      <c r="B73" s="1">
        <v>1962</v>
      </c>
      <c r="C73" s="10">
        <v>40525</v>
      </c>
      <c r="D73" t="s">
        <v>110</v>
      </c>
      <c r="E73" t="s">
        <v>111</v>
      </c>
      <c r="F73" s="2">
        <v>-497</v>
      </c>
    </row>
    <row r="74" spans="1:6" ht="12.75" hidden="1" outlineLevel="2">
      <c r="A74" s="1" t="s">
        <v>35</v>
      </c>
      <c r="B74" s="1"/>
      <c r="C74" s="10">
        <v>40534</v>
      </c>
      <c r="D74" t="s">
        <v>5</v>
      </c>
      <c r="F74" s="3">
        <v>200</v>
      </c>
    </row>
    <row r="75" spans="1:6" ht="12.75" outlineLevel="1" collapsed="1">
      <c r="A75" s="27" t="s">
        <v>132</v>
      </c>
      <c r="B75" s="1"/>
      <c r="C75" s="10"/>
      <c r="F75" s="26">
        <f>SUBTOTAL(9,F73:F74)</f>
        <v>-297</v>
      </c>
    </row>
    <row r="76" spans="1:6" ht="12.75" hidden="1" outlineLevel="2">
      <c r="A76" s="1" t="s">
        <v>24</v>
      </c>
      <c r="B76" s="1"/>
      <c r="C76" s="10">
        <v>40484</v>
      </c>
      <c r="D76" t="s">
        <v>5</v>
      </c>
      <c r="E76" t="s">
        <v>70</v>
      </c>
      <c r="F76" s="26">
        <v>630</v>
      </c>
    </row>
    <row r="77" spans="1:6" ht="12.75" hidden="1" outlineLevel="2">
      <c r="A77" s="1" t="s">
        <v>24</v>
      </c>
      <c r="B77" s="1"/>
      <c r="C77" s="10">
        <v>40499</v>
      </c>
      <c r="D77" t="s">
        <v>5</v>
      </c>
      <c r="E77" t="s">
        <v>70</v>
      </c>
      <c r="F77" s="26">
        <v>2060</v>
      </c>
    </row>
    <row r="78" spans="1:6" ht="12.75" hidden="1" outlineLevel="2">
      <c r="A78" s="1" t="s">
        <v>24</v>
      </c>
      <c r="B78" s="1">
        <v>1949</v>
      </c>
      <c r="C78" s="10">
        <v>40499</v>
      </c>
      <c r="D78" t="s">
        <v>80</v>
      </c>
      <c r="E78" t="s">
        <v>81</v>
      </c>
      <c r="F78" s="26">
        <v>-670</v>
      </c>
    </row>
    <row r="79" spans="1:6" ht="12.75" hidden="1" outlineLevel="2">
      <c r="A79" s="1" t="s">
        <v>24</v>
      </c>
      <c r="B79" s="1">
        <v>1950</v>
      </c>
      <c r="C79" s="10">
        <v>40512</v>
      </c>
      <c r="D79" t="s">
        <v>80</v>
      </c>
      <c r="E79" t="s">
        <v>82</v>
      </c>
      <c r="F79" s="26">
        <v>-256</v>
      </c>
    </row>
    <row r="80" spans="1:6" ht="12.75" hidden="1" outlineLevel="2">
      <c r="A80" s="1" t="s">
        <v>24</v>
      </c>
      <c r="B80" s="1">
        <v>1953</v>
      </c>
      <c r="C80" s="10">
        <v>40515</v>
      </c>
      <c r="D80" t="s">
        <v>89</v>
      </c>
      <c r="E80" t="s">
        <v>99</v>
      </c>
      <c r="F80" s="26">
        <v>-35.99</v>
      </c>
    </row>
    <row r="81" spans="1:6" ht="12.75" hidden="1" outlineLevel="2">
      <c r="A81" s="1" t="s">
        <v>24</v>
      </c>
      <c r="B81" s="1">
        <v>1955</v>
      </c>
      <c r="C81" s="10">
        <v>40515</v>
      </c>
      <c r="D81" t="s">
        <v>91</v>
      </c>
      <c r="E81" t="s">
        <v>99</v>
      </c>
      <c r="F81" s="26">
        <v>-96.84</v>
      </c>
    </row>
    <row r="82" spans="1:6" ht="12.75" hidden="1" outlineLevel="2">
      <c r="A82" s="1" t="s">
        <v>24</v>
      </c>
      <c r="B82" s="1"/>
      <c r="C82" s="10">
        <v>40519</v>
      </c>
      <c r="D82" t="s">
        <v>5</v>
      </c>
      <c r="E82" t="s">
        <v>103</v>
      </c>
      <c r="F82" s="26">
        <v>14867.5</v>
      </c>
    </row>
    <row r="83" spans="1:6" ht="12.75" hidden="1" outlineLevel="2">
      <c r="A83" s="1" t="s">
        <v>24</v>
      </c>
      <c r="B83" s="1">
        <v>1956</v>
      </c>
      <c r="C83" s="10">
        <v>40516</v>
      </c>
      <c r="D83" t="s">
        <v>93</v>
      </c>
      <c r="E83" t="s">
        <v>94</v>
      </c>
      <c r="F83" s="26">
        <v>-390</v>
      </c>
    </row>
    <row r="84" spans="1:6" ht="12.75" hidden="1" outlineLevel="2">
      <c r="A84" s="1" t="s">
        <v>24</v>
      </c>
      <c r="B84" s="1">
        <v>1957</v>
      </c>
      <c r="C84" s="10">
        <v>40516</v>
      </c>
      <c r="D84" t="s">
        <v>95</v>
      </c>
      <c r="E84" t="s">
        <v>96</v>
      </c>
      <c r="F84" s="26">
        <v>-500</v>
      </c>
    </row>
    <row r="85" spans="1:6" ht="12.75" hidden="1" outlineLevel="2">
      <c r="A85" s="1" t="s">
        <v>24</v>
      </c>
      <c r="B85" s="1">
        <v>1958</v>
      </c>
      <c r="C85" s="10">
        <v>40516</v>
      </c>
      <c r="D85" t="s">
        <v>97</v>
      </c>
      <c r="E85" t="s">
        <v>98</v>
      </c>
      <c r="F85" s="26">
        <v>-2801</v>
      </c>
    </row>
    <row r="86" spans="1:6" ht="12.75" hidden="1" outlineLevel="2">
      <c r="A86" s="1" t="s">
        <v>24</v>
      </c>
      <c r="B86" s="1">
        <v>1959</v>
      </c>
      <c r="C86" s="10">
        <v>40520</v>
      </c>
      <c r="D86" t="s">
        <v>91</v>
      </c>
      <c r="E86" t="s">
        <v>99</v>
      </c>
      <c r="F86" s="26">
        <v>-197.95</v>
      </c>
    </row>
    <row r="87" spans="1:6" ht="12.75" hidden="1" outlineLevel="2">
      <c r="A87" s="1" t="s">
        <v>24</v>
      </c>
      <c r="B87" s="1">
        <v>1960</v>
      </c>
      <c r="C87" s="10">
        <v>40520</v>
      </c>
      <c r="D87" t="s">
        <v>101</v>
      </c>
      <c r="E87" t="s">
        <v>102</v>
      </c>
      <c r="F87" s="26">
        <v>-99.875</v>
      </c>
    </row>
    <row r="88" spans="1:6" ht="12.75" hidden="1" outlineLevel="2">
      <c r="A88" s="1" t="s">
        <v>24</v>
      </c>
      <c r="B88" s="1"/>
      <c r="C88" s="10">
        <v>40526</v>
      </c>
      <c r="D88" t="s">
        <v>5</v>
      </c>
      <c r="E88" t="s">
        <v>70</v>
      </c>
      <c r="F88" s="26">
        <v>225</v>
      </c>
    </row>
    <row r="89" spans="1:6" ht="12.75" hidden="1" outlineLevel="2">
      <c r="A89" s="1" t="s">
        <v>24</v>
      </c>
      <c r="B89" s="1"/>
      <c r="C89" s="10"/>
      <c r="D89" t="s">
        <v>117</v>
      </c>
      <c r="E89" t="s">
        <v>118</v>
      </c>
      <c r="F89" s="26">
        <v>40</v>
      </c>
    </row>
    <row r="90" spans="1:6" ht="12.75" hidden="1" outlineLevel="2">
      <c r="A90" s="1" t="s">
        <v>24</v>
      </c>
      <c r="B90" s="1">
        <v>1961</v>
      </c>
      <c r="C90" s="10">
        <v>40520</v>
      </c>
      <c r="D90" t="s">
        <v>115</v>
      </c>
      <c r="E90" t="s">
        <v>109</v>
      </c>
      <c r="F90" s="26">
        <v>-7.5</v>
      </c>
    </row>
    <row r="91" spans="1:6" ht="12.75" hidden="1" outlineLevel="2">
      <c r="A91" s="1" t="s">
        <v>24</v>
      </c>
      <c r="B91" s="1">
        <v>1963</v>
      </c>
      <c r="C91" s="10">
        <v>40529</v>
      </c>
      <c r="D91" t="s">
        <v>112</v>
      </c>
      <c r="E91" t="s">
        <v>99</v>
      </c>
      <c r="F91" s="26">
        <v>-27</v>
      </c>
    </row>
    <row r="92" spans="1:6" ht="12.75" hidden="1" outlineLevel="2">
      <c r="A92" s="1" t="s">
        <v>24</v>
      </c>
      <c r="B92" s="1">
        <v>1964</v>
      </c>
      <c r="C92" s="10">
        <v>40529</v>
      </c>
      <c r="D92" t="s">
        <v>113</v>
      </c>
      <c r="E92" t="s">
        <v>99</v>
      </c>
      <c r="F92" s="26">
        <v>-21.64</v>
      </c>
    </row>
    <row r="93" spans="1:6" ht="12.75" hidden="1" outlineLevel="2">
      <c r="A93" s="1" t="s">
        <v>24</v>
      </c>
      <c r="B93" s="1">
        <v>1965</v>
      </c>
      <c r="C93" s="10">
        <v>40529</v>
      </c>
      <c r="D93" t="s">
        <v>80</v>
      </c>
      <c r="E93" t="s">
        <v>99</v>
      </c>
      <c r="F93" s="26">
        <v>-117.99</v>
      </c>
    </row>
    <row r="94" spans="1:6" ht="12.75" hidden="1" outlineLevel="2">
      <c r="A94" s="1" t="s">
        <v>24</v>
      </c>
      <c r="B94" s="1">
        <v>1966</v>
      </c>
      <c r="C94" s="10">
        <v>40529</v>
      </c>
      <c r="D94" t="s">
        <v>116</v>
      </c>
      <c r="E94" t="s">
        <v>114</v>
      </c>
      <c r="F94" s="26">
        <v>-230</v>
      </c>
    </row>
    <row r="95" spans="1:6" ht="12.75" hidden="1" outlineLevel="2">
      <c r="A95" s="1" t="s">
        <v>24</v>
      </c>
      <c r="B95" s="1"/>
      <c r="C95" s="10">
        <v>40534</v>
      </c>
      <c r="D95" t="s">
        <v>5</v>
      </c>
      <c r="F95" s="26">
        <v>7</v>
      </c>
    </row>
    <row r="96" spans="1:6" ht="12.75" outlineLevel="1" collapsed="1">
      <c r="A96" s="27" t="s">
        <v>76</v>
      </c>
      <c r="B96" s="1"/>
      <c r="C96" s="10"/>
      <c r="F96" s="26">
        <f>SUBTOTAL(9,F76:F95)</f>
        <v>12377.714999999998</v>
      </c>
    </row>
    <row r="97" spans="1:6" ht="12.75" hidden="1" outlineLevel="2">
      <c r="A97" s="1" t="s">
        <v>44</v>
      </c>
      <c r="B97" s="1">
        <v>1941</v>
      </c>
      <c r="C97" s="10">
        <v>40449</v>
      </c>
      <c r="D97" t="s">
        <v>45</v>
      </c>
      <c r="E97" t="s">
        <v>46</v>
      </c>
      <c r="F97" s="2">
        <v>-200</v>
      </c>
    </row>
    <row r="98" spans="1:6" ht="12.75" hidden="1" outlineLevel="2">
      <c r="A98" s="1" t="s">
        <v>44</v>
      </c>
      <c r="B98" s="1"/>
      <c r="C98" s="10">
        <v>40465</v>
      </c>
      <c r="D98" t="s">
        <v>5</v>
      </c>
      <c r="E98" t="s">
        <v>57</v>
      </c>
      <c r="F98" s="3">
        <v>730</v>
      </c>
    </row>
    <row r="99" spans="1:6" ht="12.75" hidden="1" outlineLevel="2">
      <c r="A99" s="1" t="s">
        <v>44</v>
      </c>
      <c r="B99" s="1"/>
      <c r="C99" s="10">
        <v>40484</v>
      </c>
      <c r="D99" t="s">
        <v>5</v>
      </c>
      <c r="E99" t="s">
        <v>57</v>
      </c>
      <c r="F99" s="3">
        <v>225</v>
      </c>
    </row>
    <row r="100" spans="1:6" ht="12.75" hidden="1" outlineLevel="2">
      <c r="A100" s="1" t="s">
        <v>44</v>
      </c>
      <c r="B100" s="1"/>
      <c r="C100" s="10">
        <v>40499</v>
      </c>
      <c r="D100" t="s">
        <v>5</v>
      </c>
      <c r="E100" t="s">
        <v>57</v>
      </c>
      <c r="F100" s="3">
        <v>45</v>
      </c>
    </row>
    <row r="101" spans="1:6" ht="12.75" hidden="1" outlineLevel="2">
      <c r="A101" s="1" t="s">
        <v>44</v>
      </c>
      <c r="B101" s="1"/>
      <c r="C101" s="10">
        <v>40499</v>
      </c>
      <c r="D101" t="s">
        <v>5</v>
      </c>
      <c r="E101" t="s">
        <v>79</v>
      </c>
      <c r="F101" s="3">
        <v>141.08</v>
      </c>
    </row>
    <row r="102" spans="1:6" ht="12.75" hidden="1" outlineLevel="2">
      <c r="A102" s="1" t="s">
        <v>44</v>
      </c>
      <c r="B102" s="1">
        <v>1952</v>
      </c>
      <c r="C102" s="10">
        <v>40514</v>
      </c>
      <c r="D102" t="s">
        <v>87</v>
      </c>
      <c r="E102" t="s">
        <v>88</v>
      </c>
      <c r="F102" s="2">
        <v>-912.45</v>
      </c>
    </row>
    <row r="103" spans="1:6" ht="12.75" outlineLevel="1" collapsed="1">
      <c r="A103" s="27" t="s">
        <v>77</v>
      </c>
      <c r="B103" s="1"/>
      <c r="C103" s="10"/>
      <c r="F103" s="2">
        <f>SUBTOTAL(9,F97:F102)</f>
        <v>28.629999999999995</v>
      </c>
    </row>
    <row r="104" spans="1:6" ht="12.75" hidden="1" outlineLevel="2">
      <c r="A104" s="1" t="s">
        <v>84</v>
      </c>
      <c r="B104" s="1">
        <v>1951</v>
      </c>
      <c r="C104" s="10">
        <v>40513</v>
      </c>
      <c r="D104" t="s">
        <v>85</v>
      </c>
      <c r="E104" t="s">
        <v>86</v>
      </c>
      <c r="F104" s="2">
        <v>-1822.8</v>
      </c>
    </row>
    <row r="105" spans="1:6" ht="12.75" hidden="1" outlineLevel="2">
      <c r="A105" s="1" t="s">
        <v>84</v>
      </c>
      <c r="B105" s="1">
        <v>1978</v>
      </c>
      <c r="C105" s="10">
        <v>40598</v>
      </c>
      <c r="D105" t="s">
        <v>85</v>
      </c>
      <c r="E105" t="s">
        <v>144</v>
      </c>
      <c r="F105" s="2">
        <v>-1822.8</v>
      </c>
    </row>
    <row r="106" spans="1:6" ht="12.75" outlineLevel="1" collapsed="1">
      <c r="A106" s="27" t="s">
        <v>107</v>
      </c>
      <c r="B106" s="1"/>
      <c r="C106" s="10"/>
      <c r="F106" s="2">
        <f>SUBTOTAL(9,F104:F105)</f>
        <v>-3645.6</v>
      </c>
    </row>
    <row r="107" spans="1:6" ht="12.75">
      <c r="A107" s="27" t="s">
        <v>78</v>
      </c>
      <c r="B107" s="1"/>
      <c r="C107" s="10"/>
      <c r="F107" s="3">
        <f>SUBTOTAL(9,F5:F105)</f>
        <v>27210.694999999996</v>
      </c>
    </row>
    <row r="108" spans="1:6" ht="12.75">
      <c r="A108" s="1"/>
      <c r="B108" s="1"/>
      <c r="C108" s="1"/>
      <c r="F108" s="2"/>
    </row>
    <row r="109" spans="1:6" ht="12.75">
      <c r="A109" s="1"/>
      <c r="B109" s="1"/>
      <c r="C109" s="1"/>
      <c r="F109" s="2"/>
    </row>
    <row r="110" spans="1:6" ht="12.75">
      <c r="A110" s="1"/>
      <c r="B110" s="1"/>
      <c r="C110" s="1"/>
      <c r="F110" s="2"/>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155"/>
  <sheetViews>
    <sheetView zoomScalePageLayoutView="0" workbookViewId="0" topLeftCell="A1">
      <selection activeCell="A132" sqref="A132"/>
    </sheetView>
  </sheetViews>
  <sheetFormatPr defaultColWidth="9.140625" defaultRowHeight="12.75" outlineLevelRow="2"/>
  <cols>
    <col min="1" max="1" width="28.28125" style="0" customWidth="1"/>
    <col min="2" max="2" width="6.57421875" style="0" hidden="1" customWidth="1"/>
    <col min="3" max="3" width="10.140625" style="0" hidden="1" customWidth="1"/>
    <col min="4" max="4" width="21.140625" style="0" hidden="1" customWidth="1"/>
    <col min="5" max="5" width="29.7109375" style="0" hidden="1" customWidth="1"/>
    <col min="6" max="6" width="12.7109375" style="33" customWidth="1"/>
    <col min="7" max="7" width="15.8515625" style="2" customWidth="1"/>
    <col min="8" max="8" width="11.8515625" style="0" customWidth="1"/>
    <col min="9" max="9" width="12.00390625" style="0" customWidth="1"/>
  </cols>
  <sheetData>
    <row r="1" spans="1:7" ht="12.75">
      <c r="A1" s="109" t="s">
        <v>231</v>
      </c>
      <c r="B1" s="109"/>
      <c r="C1" s="109"/>
      <c r="D1" s="109"/>
      <c r="E1" s="109"/>
      <c r="F1" s="109"/>
      <c r="G1" s="109"/>
    </row>
    <row r="2" spans="1:7" ht="12.75">
      <c r="A2" s="109" t="s">
        <v>0</v>
      </c>
      <c r="B2" s="109"/>
      <c r="C2" s="109"/>
      <c r="D2" s="109"/>
      <c r="E2" s="109"/>
      <c r="F2" s="109"/>
      <c r="G2" s="109"/>
    </row>
    <row r="4" spans="6:9" ht="12.75">
      <c r="F4" s="35" t="s">
        <v>182</v>
      </c>
      <c r="G4" s="3"/>
      <c r="H4" s="35"/>
      <c r="I4" s="4"/>
    </row>
    <row r="5" spans="1:7" s="35" customFormat="1" ht="12.75">
      <c r="A5" s="35" t="s">
        <v>12</v>
      </c>
      <c r="E5" s="35" t="s">
        <v>4</v>
      </c>
      <c r="F5" s="35" t="s">
        <v>133</v>
      </c>
      <c r="G5" s="42"/>
    </row>
    <row r="6" spans="1:6" ht="12.75" hidden="1" outlineLevel="2">
      <c r="A6" s="1" t="s">
        <v>104</v>
      </c>
      <c r="B6" s="1"/>
      <c r="C6" s="10"/>
      <c r="E6" s="4" t="s">
        <v>52</v>
      </c>
      <c r="F6" s="26">
        <v>7512.21</v>
      </c>
    </row>
    <row r="7" spans="1:8" ht="12.75" outlineLevel="1" collapsed="1">
      <c r="A7" s="28" t="s">
        <v>105</v>
      </c>
      <c r="B7" s="1"/>
      <c r="C7" s="10"/>
      <c r="E7" s="4"/>
      <c r="F7" s="26">
        <f>SUBTOTAL(9,F6:F6)</f>
        <v>7512.21</v>
      </c>
      <c r="H7" s="2"/>
    </row>
    <row r="8" spans="1:8" ht="12.75" hidden="1" outlineLevel="2">
      <c r="A8" s="1" t="s">
        <v>119</v>
      </c>
      <c r="B8" s="1">
        <v>1967</v>
      </c>
      <c r="C8" s="1"/>
      <c r="D8" t="s">
        <v>120</v>
      </c>
      <c r="E8" t="s">
        <v>121</v>
      </c>
      <c r="F8" s="26">
        <v>-506.25</v>
      </c>
      <c r="H8" s="2"/>
    </row>
    <row r="9" spans="1:8" ht="12.75" outlineLevel="1" collapsed="1">
      <c r="A9" s="27" t="s">
        <v>134</v>
      </c>
      <c r="B9" s="1"/>
      <c r="C9" s="1"/>
      <c r="F9" s="26">
        <f>SUBTOTAL(9,F8:F8)</f>
        <v>-506.25</v>
      </c>
      <c r="G9" s="34"/>
      <c r="H9" s="2"/>
    </row>
    <row r="10" spans="1:8" ht="12.75" hidden="1" outlineLevel="2">
      <c r="A10" s="1" t="s">
        <v>26</v>
      </c>
      <c r="B10" s="1"/>
      <c r="C10" s="10">
        <v>40561</v>
      </c>
      <c r="D10" t="s">
        <v>5</v>
      </c>
      <c r="E10" t="s">
        <v>127</v>
      </c>
      <c r="F10" s="26">
        <v>1306.1</v>
      </c>
      <c r="H10" s="2"/>
    </row>
    <row r="11" spans="1:8" ht="12.75" hidden="1" outlineLevel="2">
      <c r="A11" s="1" t="s">
        <v>26</v>
      </c>
      <c r="B11" s="1"/>
      <c r="C11" s="10">
        <v>40668</v>
      </c>
      <c r="D11" t="s">
        <v>5</v>
      </c>
      <c r="E11" t="s">
        <v>127</v>
      </c>
      <c r="F11" s="26">
        <v>442.9</v>
      </c>
      <c r="H11" s="2"/>
    </row>
    <row r="12" spans="1:8" ht="12.75" outlineLevel="1" collapsed="1">
      <c r="A12" s="27" t="s">
        <v>130</v>
      </c>
      <c r="B12" s="1"/>
      <c r="C12" s="10"/>
      <c r="F12" s="26">
        <f>SUBTOTAL(9,F10:F11)</f>
        <v>1749</v>
      </c>
      <c r="H12" s="2"/>
    </row>
    <row r="13" spans="1:8" ht="12.75" hidden="1" outlineLevel="2">
      <c r="A13" s="1" t="s">
        <v>56</v>
      </c>
      <c r="B13" s="1"/>
      <c r="C13" s="10">
        <v>40465</v>
      </c>
      <c r="D13" t="s">
        <v>5</v>
      </c>
      <c r="E13" t="s">
        <v>58</v>
      </c>
      <c r="F13" s="26">
        <v>35</v>
      </c>
      <c r="H13" s="2"/>
    </row>
    <row r="14" spans="1:8" ht="12.75" hidden="1" outlineLevel="2">
      <c r="A14" s="1" t="s">
        <v>56</v>
      </c>
      <c r="B14" s="1"/>
      <c r="C14" s="10">
        <v>40470</v>
      </c>
      <c r="D14" t="s">
        <v>5</v>
      </c>
      <c r="E14" t="s">
        <v>58</v>
      </c>
      <c r="F14" s="26">
        <v>850</v>
      </c>
      <c r="H14" s="2"/>
    </row>
    <row r="15" spans="1:8" ht="12.75" hidden="1" outlineLevel="2">
      <c r="A15" s="1" t="s">
        <v>56</v>
      </c>
      <c r="B15" s="1"/>
      <c r="C15" s="10">
        <v>40484</v>
      </c>
      <c r="D15" t="s">
        <v>5</v>
      </c>
      <c r="E15" t="s">
        <v>58</v>
      </c>
      <c r="F15" s="26">
        <v>450</v>
      </c>
      <c r="H15" s="2"/>
    </row>
    <row r="16" spans="1:8" ht="12.75" hidden="1" outlineLevel="2">
      <c r="A16" s="1" t="s">
        <v>56</v>
      </c>
      <c r="B16" s="1"/>
      <c r="C16" s="10">
        <v>40592</v>
      </c>
      <c r="D16" t="s">
        <v>5</v>
      </c>
      <c r="E16" t="s">
        <v>58</v>
      </c>
      <c r="F16" s="26">
        <v>125</v>
      </c>
      <c r="H16" s="2"/>
    </row>
    <row r="17" spans="1:8" ht="12.75" outlineLevel="1" collapsed="1">
      <c r="A17" s="27" t="s">
        <v>71</v>
      </c>
      <c r="B17" s="1"/>
      <c r="C17" s="10"/>
      <c r="F17" s="26">
        <f>SUBTOTAL(9,F13:F16)</f>
        <v>1460</v>
      </c>
      <c r="H17" s="2"/>
    </row>
    <row r="18" spans="1:8" ht="12.75" hidden="1" outlineLevel="2">
      <c r="A18" s="1" t="s">
        <v>25</v>
      </c>
      <c r="B18" s="1"/>
      <c r="C18" s="10">
        <v>40561</v>
      </c>
      <c r="D18" t="s">
        <v>5</v>
      </c>
      <c r="E18" t="s">
        <v>128</v>
      </c>
      <c r="F18" s="26">
        <v>745</v>
      </c>
      <c r="H18" s="2"/>
    </row>
    <row r="19" spans="1:8" ht="12.75" hidden="1" outlineLevel="2">
      <c r="A19" s="1" t="s">
        <v>25</v>
      </c>
      <c r="B19" s="1"/>
      <c r="C19" s="10">
        <v>40592</v>
      </c>
      <c r="D19" t="s">
        <v>5</v>
      </c>
      <c r="E19" t="s">
        <v>25</v>
      </c>
      <c r="F19" s="26">
        <v>4602.46</v>
      </c>
      <c r="H19" s="2"/>
    </row>
    <row r="20" spans="1:8" ht="12.75" hidden="1" outlineLevel="2">
      <c r="A20" s="1" t="s">
        <v>25</v>
      </c>
      <c r="B20" s="1">
        <v>1977</v>
      </c>
      <c r="C20" s="10">
        <v>40596</v>
      </c>
      <c r="D20" t="s">
        <v>142</v>
      </c>
      <c r="E20" t="s">
        <v>143</v>
      </c>
      <c r="F20" s="26">
        <v>-1001.5</v>
      </c>
      <c r="H20" s="2"/>
    </row>
    <row r="21" spans="1:8" ht="12.75" hidden="1" outlineLevel="2">
      <c r="A21" s="1" t="s">
        <v>25</v>
      </c>
      <c r="B21" s="1">
        <v>1979</v>
      </c>
      <c r="C21" s="10">
        <v>40598</v>
      </c>
      <c r="D21" t="s">
        <v>145</v>
      </c>
      <c r="E21" t="s">
        <v>146</v>
      </c>
      <c r="F21" s="26">
        <v>-323.8</v>
      </c>
      <c r="H21" s="2"/>
    </row>
    <row r="22" spans="1:8" ht="12.75" hidden="1" outlineLevel="2">
      <c r="A22" s="1" t="s">
        <v>25</v>
      </c>
      <c r="B22" s="1">
        <v>1980</v>
      </c>
      <c r="C22" s="10">
        <v>40599</v>
      </c>
      <c r="D22" t="s">
        <v>149</v>
      </c>
      <c r="E22" t="s">
        <v>148</v>
      </c>
      <c r="F22" s="26">
        <v>-600</v>
      </c>
      <c r="H22" s="2"/>
    </row>
    <row r="23" spans="1:8" ht="12.75" hidden="1" outlineLevel="2">
      <c r="A23" s="1" t="s">
        <v>25</v>
      </c>
      <c r="B23" s="1"/>
      <c r="C23" s="10">
        <v>40603</v>
      </c>
      <c r="D23" t="s">
        <v>5</v>
      </c>
      <c r="E23" t="s">
        <v>25</v>
      </c>
      <c r="F23" s="26">
        <v>2960</v>
      </c>
      <c r="H23" s="2"/>
    </row>
    <row r="24" spans="1:8" ht="12.75" hidden="1" outlineLevel="2">
      <c r="A24" s="1" t="s">
        <v>25</v>
      </c>
      <c r="B24" s="1">
        <v>1981</v>
      </c>
      <c r="C24" s="10">
        <v>40603</v>
      </c>
      <c r="D24" t="s">
        <v>150</v>
      </c>
      <c r="E24" t="s">
        <v>152</v>
      </c>
      <c r="F24" s="26">
        <v>-50</v>
      </c>
      <c r="H24" s="2"/>
    </row>
    <row r="25" spans="1:8" ht="12.75" hidden="1" outlineLevel="2">
      <c r="A25" s="1" t="s">
        <v>25</v>
      </c>
      <c r="B25" s="1">
        <v>1982</v>
      </c>
      <c r="C25" s="10">
        <v>40603</v>
      </c>
      <c r="D25" t="s">
        <v>151</v>
      </c>
      <c r="E25" t="s">
        <v>152</v>
      </c>
      <c r="F25" s="26">
        <v>-344</v>
      </c>
      <c r="H25" s="2"/>
    </row>
    <row r="26" spans="1:8" ht="12.75" hidden="1" outlineLevel="2">
      <c r="A26" s="1" t="s">
        <v>25</v>
      </c>
      <c r="B26" s="1">
        <v>1984</v>
      </c>
      <c r="C26" s="10">
        <v>40610</v>
      </c>
      <c r="D26" t="s">
        <v>158</v>
      </c>
      <c r="E26" t="s">
        <v>159</v>
      </c>
      <c r="F26" s="26">
        <v>-1500</v>
      </c>
      <c r="H26" s="2"/>
    </row>
    <row r="27" spans="1:8" ht="12.75" hidden="1" outlineLevel="2">
      <c r="A27" s="1" t="s">
        <v>25</v>
      </c>
      <c r="B27" s="1">
        <v>1987</v>
      </c>
      <c r="C27" s="10">
        <v>40617</v>
      </c>
      <c r="D27" t="s">
        <v>162</v>
      </c>
      <c r="E27" t="s">
        <v>163</v>
      </c>
      <c r="F27" s="26">
        <v>-75</v>
      </c>
      <c r="H27" s="2"/>
    </row>
    <row r="28" spans="1:8" ht="12.75" hidden="1" outlineLevel="2">
      <c r="A28" s="1" t="s">
        <v>25</v>
      </c>
      <c r="B28" s="1">
        <v>1988</v>
      </c>
      <c r="C28" s="10">
        <v>40617</v>
      </c>
      <c r="D28" t="s">
        <v>164</v>
      </c>
      <c r="E28" t="s">
        <v>163</v>
      </c>
      <c r="F28" s="26">
        <v>-75</v>
      </c>
      <c r="H28" s="2"/>
    </row>
    <row r="29" spans="1:8" ht="12.75" hidden="1" outlineLevel="2">
      <c r="A29" s="1" t="s">
        <v>25</v>
      </c>
      <c r="B29" s="1"/>
      <c r="C29" s="10">
        <v>40634</v>
      </c>
      <c r="D29" t="s">
        <v>5</v>
      </c>
      <c r="E29" t="s">
        <v>148</v>
      </c>
      <c r="F29" s="26">
        <v>3510</v>
      </c>
      <c r="H29" s="2"/>
    </row>
    <row r="30" spans="1:8" ht="12.75" outlineLevel="1" collapsed="1">
      <c r="A30" s="27" t="s">
        <v>131</v>
      </c>
      <c r="B30" s="1"/>
      <c r="C30" s="10"/>
      <c r="F30" s="26">
        <f>SUBTOTAL(9,F18:F29)</f>
        <v>7848.16</v>
      </c>
      <c r="H30" s="2"/>
    </row>
    <row r="31" spans="1:8" ht="12.75" hidden="1" outlineLevel="2">
      <c r="A31" s="1" t="s">
        <v>68</v>
      </c>
      <c r="B31" s="1"/>
      <c r="C31" s="10">
        <v>40470</v>
      </c>
      <c r="D31" t="s">
        <v>5</v>
      </c>
      <c r="E31" t="s">
        <v>66</v>
      </c>
      <c r="F31" s="26">
        <v>8817</v>
      </c>
      <c r="H31" s="2"/>
    </row>
    <row r="32" spans="1:8" ht="12.75" hidden="1" outlineLevel="2">
      <c r="A32" s="1" t="s">
        <v>68</v>
      </c>
      <c r="B32" s="1">
        <v>1947</v>
      </c>
      <c r="C32" s="10">
        <v>40470</v>
      </c>
      <c r="D32" t="s">
        <v>65</v>
      </c>
      <c r="E32" t="s">
        <v>67</v>
      </c>
      <c r="F32" s="26">
        <v>-4784.5</v>
      </c>
      <c r="H32" s="2"/>
    </row>
    <row r="33" spans="1:8" ht="12.75" hidden="1" outlineLevel="2">
      <c r="A33" s="1" t="s">
        <v>68</v>
      </c>
      <c r="B33" s="1"/>
      <c r="C33" s="10">
        <v>40484</v>
      </c>
      <c r="D33" t="s">
        <v>5</v>
      </c>
      <c r="E33" t="s">
        <v>66</v>
      </c>
      <c r="F33" s="26">
        <v>32.5</v>
      </c>
      <c r="H33" s="2"/>
    </row>
    <row r="34" spans="1:8" ht="12.75" hidden="1" outlineLevel="2">
      <c r="A34" s="1" t="s">
        <v>68</v>
      </c>
      <c r="B34" s="1"/>
      <c r="C34" s="10">
        <v>40499</v>
      </c>
      <c r="D34" t="s">
        <v>5</v>
      </c>
      <c r="E34" t="s">
        <v>66</v>
      </c>
      <c r="F34" s="26">
        <v>14.8</v>
      </c>
      <c r="H34" s="2"/>
    </row>
    <row r="35" spans="1:8" ht="12.75" hidden="1" outlineLevel="2">
      <c r="A35" s="1" t="s">
        <v>68</v>
      </c>
      <c r="B35" s="1"/>
      <c r="C35" s="10">
        <v>40505</v>
      </c>
      <c r="D35" t="s">
        <v>5</v>
      </c>
      <c r="E35" t="s">
        <v>66</v>
      </c>
      <c r="F35" s="26">
        <v>673</v>
      </c>
      <c r="H35" s="2"/>
    </row>
    <row r="36" spans="1:8" ht="12.75" hidden="1" outlineLevel="2">
      <c r="A36" s="1" t="s">
        <v>68</v>
      </c>
      <c r="B36" s="1"/>
      <c r="C36" s="10">
        <v>40519</v>
      </c>
      <c r="D36" t="s">
        <v>5</v>
      </c>
      <c r="E36" t="s">
        <v>66</v>
      </c>
      <c r="F36" s="26">
        <v>32.5</v>
      </c>
      <c r="H36" s="2"/>
    </row>
    <row r="37" spans="1:8" ht="12.75" hidden="1" outlineLevel="2">
      <c r="A37" s="1" t="s">
        <v>68</v>
      </c>
      <c r="B37" s="1">
        <v>1972</v>
      </c>
      <c r="C37" s="10">
        <v>40582</v>
      </c>
      <c r="D37" t="s">
        <v>60</v>
      </c>
      <c r="E37" t="s">
        <v>137</v>
      </c>
      <c r="F37" s="26">
        <v>-244.8</v>
      </c>
      <c r="H37" s="2"/>
    </row>
    <row r="38" spans="1:8" ht="12.75" outlineLevel="1" collapsed="1">
      <c r="A38" s="27" t="s">
        <v>72</v>
      </c>
      <c r="B38" s="1"/>
      <c r="C38" s="10"/>
      <c r="F38" s="26">
        <f>SUBTOTAL(9,F31:F37)</f>
        <v>4540.5</v>
      </c>
      <c r="H38" s="2"/>
    </row>
    <row r="39" spans="1:8" ht="12.75" hidden="1" outlineLevel="2">
      <c r="A39" s="1" t="s">
        <v>173</v>
      </c>
      <c r="B39" s="1"/>
      <c r="C39" s="10">
        <v>40668</v>
      </c>
      <c r="D39" t="s">
        <v>5</v>
      </c>
      <c r="E39" t="s">
        <v>177</v>
      </c>
      <c r="F39" s="26">
        <v>220.92</v>
      </c>
      <c r="H39" s="2"/>
    </row>
    <row r="40" spans="1:8" ht="12.75" outlineLevel="1" collapsed="1">
      <c r="A40" s="27" t="s">
        <v>178</v>
      </c>
      <c r="B40" s="1"/>
      <c r="C40" s="10"/>
      <c r="F40" s="26">
        <f>SUBTOTAL(9,F39:F39)</f>
        <v>220.92</v>
      </c>
      <c r="G40" s="34"/>
      <c r="H40" s="2"/>
    </row>
    <row r="41" spans="1:8" ht="12.75" hidden="1" outlineLevel="2">
      <c r="A41" s="1" t="s">
        <v>92</v>
      </c>
      <c r="B41" s="1">
        <v>1954</v>
      </c>
      <c r="C41" s="10">
        <v>40515</v>
      </c>
      <c r="D41" t="s">
        <v>90</v>
      </c>
      <c r="E41" t="s">
        <v>100</v>
      </c>
      <c r="F41" s="26">
        <v>-41.14</v>
      </c>
      <c r="H41" s="2"/>
    </row>
    <row r="42" spans="1:8" ht="12.75" hidden="1" outlineLevel="2">
      <c r="A42" s="1" t="s">
        <v>92</v>
      </c>
      <c r="B42" s="1"/>
      <c r="C42" s="10">
        <v>40526</v>
      </c>
      <c r="D42" t="s">
        <v>117</v>
      </c>
      <c r="E42" t="s">
        <v>108</v>
      </c>
      <c r="F42" s="26">
        <v>1901</v>
      </c>
      <c r="H42" s="2"/>
    </row>
    <row r="43" spans="1:8" ht="12.75" hidden="1" outlineLevel="2">
      <c r="A43" s="1" t="s">
        <v>92</v>
      </c>
      <c r="B43" s="1">
        <v>1968</v>
      </c>
      <c r="C43" s="10">
        <v>40561</v>
      </c>
      <c r="D43" t="s">
        <v>0</v>
      </c>
      <c r="E43" t="s">
        <v>129</v>
      </c>
      <c r="F43" s="26">
        <v>-20</v>
      </c>
      <c r="H43" s="2"/>
    </row>
    <row r="44" spans="1:8" ht="12.75" hidden="1" outlineLevel="2">
      <c r="A44" s="1" t="s">
        <v>92</v>
      </c>
      <c r="B44" s="1">
        <v>1969</v>
      </c>
      <c r="C44" s="10">
        <v>40582</v>
      </c>
      <c r="D44" t="s">
        <v>0</v>
      </c>
      <c r="E44" t="s">
        <v>136</v>
      </c>
      <c r="F44" s="26">
        <v>-100</v>
      </c>
      <c r="H44" s="2"/>
    </row>
    <row r="45" spans="1:8" ht="12.75" hidden="1" outlineLevel="2">
      <c r="A45" s="1" t="s">
        <v>92</v>
      </c>
      <c r="B45" s="1"/>
      <c r="C45" s="10">
        <v>40592</v>
      </c>
      <c r="D45" t="s">
        <v>5</v>
      </c>
      <c r="E45" t="s">
        <v>135</v>
      </c>
      <c r="F45" s="26">
        <v>478.2</v>
      </c>
      <c r="H45" s="2"/>
    </row>
    <row r="46" spans="1:8" ht="12.75" hidden="1" outlineLevel="2">
      <c r="A46" s="1" t="s">
        <v>92</v>
      </c>
      <c r="B46" s="1">
        <v>1992</v>
      </c>
      <c r="C46" s="10">
        <v>40668</v>
      </c>
      <c r="D46" t="s">
        <v>169</v>
      </c>
      <c r="E46" t="s">
        <v>170</v>
      </c>
      <c r="F46" s="26">
        <v>-344.62</v>
      </c>
      <c r="H46" s="2"/>
    </row>
    <row r="47" spans="1:8" ht="12.75" outlineLevel="1" collapsed="1">
      <c r="A47" s="27" t="s">
        <v>106</v>
      </c>
      <c r="B47" s="1"/>
      <c r="C47" s="10"/>
      <c r="F47" s="26">
        <f>SUBTOTAL(9,F41:F46)</f>
        <v>1873.44</v>
      </c>
      <c r="H47" s="2"/>
    </row>
    <row r="48" spans="1:8" ht="12.75" hidden="1" outlineLevel="2">
      <c r="A48" s="1" t="s">
        <v>13</v>
      </c>
      <c r="B48" s="1"/>
      <c r="C48" s="10">
        <v>40359</v>
      </c>
      <c r="D48" s="5" t="s">
        <v>51</v>
      </c>
      <c r="E48" t="s">
        <v>50</v>
      </c>
      <c r="F48" s="26">
        <v>-12.5</v>
      </c>
      <c r="H48" s="2"/>
    </row>
    <row r="49" spans="1:8" ht="12.75" hidden="1" outlineLevel="2">
      <c r="A49" s="1" t="s">
        <v>13</v>
      </c>
      <c r="B49" s="1"/>
      <c r="C49" s="10">
        <v>40389</v>
      </c>
      <c r="D49" s="5" t="s">
        <v>51</v>
      </c>
      <c r="E49" t="s">
        <v>50</v>
      </c>
      <c r="F49" s="26">
        <v>-12.5</v>
      </c>
      <c r="H49" s="2"/>
    </row>
    <row r="50" spans="1:8" ht="12.75" hidden="1" outlineLevel="2">
      <c r="A50" s="1" t="s">
        <v>13</v>
      </c>
      <c r="B50" s="1">
        <v>1938</v>
      </c>
      <c r="C50" s="10">
        <v>40421</v>
      </c>
      <c r="D50" s="5"/>
      <c r="E50" t="s">
        <v>9</v>
      </c>
      <c r="F50" s="26">
        <v>0</v>
      </c>
      <c r="H50" s="2"/>
    </row>
    <row r="51" spans="1:8" ht="12.75" hidden="1" outlineLevel="2">
      <c r="A51" s="1" t="s">
        <v>13</v>
      </c>
      <c r="B51" s="1"/>
      <c r="C51" s="10">
        <v>40421</v>
      </c>
      <c r="D51" s="5" t="s">
        <v>51</v>
      </c>
      <c r="E51" t="s">
        <v>50</v>
      </c>
      <c r="F51" s="26">
        <v>-12.5</v>
      </c>
      <c r="H51" s="2"/>
    </row>
    <row r="52" spans="1:8" ht="12.75" hidden="1" outlineLevel="2">
      <c r="A52" s="1" t="s">
        <v>13</v>
      </c>
      <c r="B52" s="1">
        <v>1939</v>
      </c>
      <c r="C52" s="10">
        <v>40422</v>
      </c>
      <c r="D52" t="s">
        <v>0</v>
      </c>
      <c r="E52" t="s">
        <v>11</v>
      </c>
      <c r="F52" s="26">
        <v>-35</v>
      </c>
      <c r="H52" s="2"/>
    </row>
    <row r="53" spans="1:8" ht="12.75" hidden="1" outlineLevel="2">
      <c r="A53" s="1" t="s">
        <v>13</v>
      </c>
      <c r="B53" s="1">
        <v>1940</v>
      </c>
      <c r="C53" s="10">
        <v>40431</v>
      </c>
      <c r="D53" t="s">
        <v>14</v>
      </c>
      <c r="E53" t="s">
        <v>15</v>
      </c>
      <c r="F53" s="26">
        <v>-250</v>
      </c>
      <c r="H53" s="2"/>
    </row>
    <row r="54" spans="1:8" ht="12.75" hidden="1" outlineLevel="2">
      <c r="A54" s="1" t="s">
        <v>13</v>
      </c>
      <c r="B54" s="1"/>
      <c r="C54" s="10">
        <v>40451</v>
      </c>
      <c r="D54" t="s">
        <v>51</v>
      </c>
      <c r="E54" t="s">
        <v>50</v>
      </c>
      <c r="F54" s="26">
        <v>-12.5</v>
      </c>
      <c r="H54" s="2"/>
    </row>
    <row r="55" spans="1:8" ht="12.75" hidden="1" outlineLevel="2">
      <c r="A55" s="1" t="s">
        <v>13</v>
      </c>
      <c r="B55" s="1">
        <v>1942</v>
      </c>
      <c r="C55" s="10">
        <v>40457</v>
      </c>
      <c r="D55" t="s">
        <v>47</v>
      </c>
      <c r="E55" t="s">
        <v>48</v>
      </c>
      <c r="F55" s="26">
        <v>-52.07</v>
      </c>
      <c r="H55" s="2"/>
    </row>
    <row r="56" spans="1:8" ht="12.75" hidden="1" outlineLevel="2">
      <c r="A56" s="1" t="s">
        <v>13</v>
      </c>
      <c r="B56" s="1">
        <v>1944</v>
      </c>
      <c r="C56" s="10">
        <v>40463</v>
      </c>
      <c r="D56" t="s">
        <v>60</v>
      </c>
      <c r="E56" t="s">
        <v>61</v>
      </c>
      <c r="F56" s="26">
        <v>-22.5</v>
      </c>
      <c r="H56" s="2"/>
    </row>
    <row r="57" spans="1:8" ht="12.75" hidden="1" outlineLevel="2">
      <c r="A57" s="1" t="s">
        <v>13</v>
      </c>
      <c r="B57" s="1"/>
      <c r="C57" s="10">
        <v>40481</v>
      </c>
      <c r="D57" t="s">
        <v>51</v>
      </c>
      <c r="E57" t="s">
        <v>50</v>
      </c>
      <c r="F57" s="26">
        <v>-12.5</v>
      </c>
      <c r="H57" s="2"/>
    </row>
    <row r="58" spans="1:8" ht="12.75" hidden="1" outlineLevel="2">
      <c r="A58" s="1" t="s">
        <v>13</v>
      </c>
      <c r="B58" s="1">
        <v>1948</v>
      </c>
      <c r="C58" s="10">
        <v>40491</v>
      </c>
      <c r="D58" t="s">
        <v>83</v>
      </c>
      <c r="E58" t="s">
        <v>61</v>
      </c>
      <c r="F58" s="26">
        <v>-20</v>
      </c>
      <c r="H58" s="2"/>
    </row>
    <row r="59" spans="1:8" ht="12.75" hidden="1" outlineLevel="2">
      <c r="A59" s="1" t="s">
        <v>13</v>
      </c>
      <c r="B59" s="1"/>
      <c r="C59" s="10">
        <v>40512</v>
      </c>
      <c r="D59" t="s">
        <v>51</v>
      </c>
      <c r="E59" t="s">
        <v>50</v>
      </c>
      <c r="F59" s="26">
        <v>-12.5</v>
      </c>
      <c r="H59" s="2"/>
    </row>
    <row r="60" spans="1:8" ht="12.75" hidden="1" outlineLevel="2">
      <c r="A60" s="1" t="s">
        <v>13</v>
      </c>
      <c r="B60" s="1"/>
      <c r="C60" s="10">
        <v>40542</v>
      </c>
      <c r="D60" t="s">
        <v>51</v>
      </c>
      <c r="E60" t="s">
        <v>50</v>
      </c>
      <c r="F60" s="26">
        <v>-12.5</v>
      </c>
      <c r="H60" s="2"/>
    </row>
    <row r="61" spans="1:8" ht="12.75" hidden="1" outlineLevel="2">
      <c r="A61" s="1" t="s">
        <v>13</v>
      </c>
      <c r="B61" s="1"/>
      <c r="C61" s="10">
        <v>40573</v>
      </c>
      <c r="D61" t="s">
        <v>50</v>
      </c>
      <c r="F61" s="26">
        <v>-12.5</v>
      </c>
      <c r="H61" s="2"/>
    </row>
    <row r="62" spans="1:8" ht="12.75" hidden="1" outlineLevel="2">
      <c r="A62" s="1" t="s">
        <v>13</v>
      </c>
      <c r="B62" s="1">
        <v>1970</v>
      </c>
      <c r="C62" s="10">
        <v>40582</v>
      </c>
      <c r="D62" t="s">
        <v>9</v>
      </c>
      <c r="F62" s="26">
        <v>0</v>
      </c>
      <c r="H62" s="2"/>
    </row>
    <row r="63" spans="1:8" ht="12.75" hidden="1" outlineLevel="2">
      <c r="A63" s="1" t="s">
        <v>13</v>
      </c>
      <c r="B63" s="1">
        <v>1971</v>
      </c>
      <c r="C63" s="10">
        <v>40582</v>
      </c>
      <c r="D63" t="s">
        <v>60</v>
      </c>
      <c r="E63" t="s">
        <v>61</v>
      </c>
      <c r="F63" s="26">
        <v>-25</v>
      </c>
      <c r="H63" s="2"/>
    </row>
    <row r="64" spans="1:8" ht="12.75" hidden="1" outlineLevel="2">
      <c r="A64" s="1" t="s">
        <v>13</v>
      </c>
      <c r="B64" s="1">
        <v>1973</v>
      </c>
      <c r="C64" s="10">
        <v>40582</v>
      </c>
      <c r="D64" t="s">
        <v>138</v>
      </c>
      <c r="E64" t="s">
        <v>139</v>
      </c>
      <c r="F64" s="26">
        <v>-20</v>
      </c>
      <c r="H64" s="2"/>
    </row>
    <row r="65" spans="1:8" ht="12.75" hidden="1" outlineLevel="2">
      <c r="A65" s="1" t="s">
        <v>13</v>
      </c>
      <c r="B65" s="1">
        <v>1975</v>
      </c>
      <c r="C65" s="10">
        <v>40588</v>
      </c>
      <c r="D65" t="s">
        <v>140</v>
      </c>
      <c r="E65" t="s">
        <v>141</v>
      </c>
      <c r="F65" s="26">
        <v>-138.13</v>
      </c>
      <c r="H65" s="2"/>
    </row>
    <row r="66" spans="1:8" ht="12.75" hidden="1" outlineLevel="2">
      <c r="A66" s="1" t="s">
        <v>13</v>
      </c>
      <c r="B66" s="1"/>
      <c r="C66" s="10">
        <v>40602</v>
      </c>
      <c r="D66" t="s">
        <v>50</v>
      </c>
      <c r="F66" s="26">
        <v>-12.5</v>
      </c>
      <c r="H66" s="2"/>
    </row>
    <row r="67" spans="1:8" ht="12.75" hidden="1" outlineLevel="2">
      <c r="A67" s="1" t="s">
        <v>13</v>
      </c>
      <c r="B67" s="1">
        <v>1983</v>
      </c>
      <c r="C67" s="10">
        <v>40610</v>
      </c>
      <c r="D67" t="s">
        <v>47</v>
      </c>
      <c r="E67" t="s">
        <v>157</v>
      </c>
      <c r="F67" s="26">
        <v>-49.96</v>
      </c>
      <c r="H67" s="2"/>
    </row>
    <row r="68" spans="1:8" ht="12.75" hidden="1" outlineLevel="2">
      <c r="A68" s="1" t="s">
        <v>13</v>
      </c>
      <c r="B68" s="1">
        <v>1985</v>
      </c>
      <c r="C68" s="10">
        <v>40610</v>
      </c>
      <c r="D68" t="s">
        <v>89</v>
      </c>
      <c r="E68" t="s">
        <v>160</v>
      </c>
      <c r="F68" s="26">
        <v>-14.77</v>
      </c>
      <c r="H68" s="2"/>
    </row>
    <row r="69" spans="1:8" ht="12.75" hidden="1" outlineLevel="2">
      <c r="A69" s="1" t="s">
        <v>13</v>
      </c>
      <c r="B69" s="1">
        <v>1986</v>
      </c>
      <c r="C69" s="10">
        <v>40610</v>
      </c>
      <c r="D69" t="s">
        <v>138</v>
      </c>
      <c r="E69" t="s">
        <v>161</v>
      </c>
      <c r="F69" s="26">
        <v>-20</v>
      </c>
      <c r="H69" s="2"/>
    </row>
    <row r="70" spans="1:8" ht="12.75" hidden="1" outlineLevel="2">
      <c r="A70" s="1" t="s">
        <v>13</v>
      </c>
      <c r="B70" s="1">
        <v>1989</v>
      </c>
      <c r="C70" s="10">
        <v>40617</v>
      </c>
      <c r="D70" t="s">
        <v>145</v>
      </c>
      <c r="E70" t="s">
        <v>165</v>
      </c>
      <c r="F70" s="26">
        <v>-65.99</v>
      </c>
      <c r="H70" s="2"/>
    </row>
    <row r="71" spans="1:8" ht="12.75" hidden="1" outlineLevel="2">
      <c r="A71" s="1" t="s">
        <v>13</v>
      </c>
      <c r="B71" s="1"/>
      <c r="C71" s="10">
        <v>40633</v>
      </c>
      <c r="D71" t="s">
        <v>50</v>
      </c>
      <c r="F71" s="26">
        <v>-12.5</v>
      </c>
      <c r="H71" s="2"/>
    </row>
    <row r="72" spans="1:8" ht="12.75" hidden="1" outlineLevel="2">
      <c r="A72" s="1" t="s">
        <v>13</v>
      </c>
      <c r="B72" s="1">
        <v>1993</v>
      </c>
      <c r="C72" s="10">
        <v>40668</v>
      </c>
      <c r="D72" t="s">
        <v>89</v>
      </c>
      <c r="E72" t="s">
        <v>176</v>
      </c>
      <c r="F72" s="26">
        <v>-17.15</v>
      </c>
      <c r="H72" s="2"/>
    </row>
    <row r="73" spans="1:8" ht="12.75" hidden="1" outlineLevel="2">
      <c r="A73" s="1" t="s">
        <v>13</v>
      </c>
      <c r="B73" s="1"/>
      <c r="C73" s="10"/>
      <c r="E73" t="s">
        <v>124</v>
      </c>
      <c r="F73" s="26">
        <v>-302.5</v>
      </c>
      <c r="H73" s="2"/>
    </row>
    <row r="74" spans="1:8" ht="12.75" hidden="1" outlineLevel="2">
      <c r="A74" s="1" t="s">
        <v>13</v>
      </c>
      <c r="B74" s="1">
        <v>1974</v>
      </c>
      <c r="C74" s="1"/>
      <c r="F74" s="26">
        <v>-58.75</v>
      </c>
      <c r="H74" s="2"/>
    </row>
    <row r="75" spans="1:8" ht="12.75" hidden="1" outlineLevel="2">
      <c r="A75" s="1" t="s">
        <v>13</v>
      </c>
      <c r="B75" s="1">
        <v>1976</v>
      </c>
      <c r="C75" s="1"/>
      <c r="D75" t="s">
        <v>147</v>
      </c>
      <c r="F75" s="26">
        <v>0</v>
      </c>
      <c r="H75" s="2"/>
    </row>
    <row r="76" spans="1:8" ht="12.75" outlineLevel="1" collapsed="1">
      <c r="A76" s="27" t="s">
        <v>73</v>
      </c>
      <c r="B76" s="1"/>
      <c r="C76" s="1"/>
      <c r="F76" s="26">
        <f>SUBTOTAL(9,F48:F75)</f>
        <v>-1216.82</v>
      </c>
      <c r="H76" s="2"/>
    </row>
    <row r="77" spans="1:8" ht="12.75" hidden="1" outlineLevel="2">
      <c r="A77" s="1" t="s">
        <v>28</v>
      </c>
      <c r="B77" s="1">
        <v>1943</v>
      </c>
      <c r="C77" s="10">
        <v>40463</v>
      </c>
      <c r="D77" t="s">
        <v>49</v>
      </c>
      <c r="E77" t="s">
        <v>55</v>
      </c>
      <c r="F77" s="26">
        <v>-165.42</v>
      </c>
      <c r="H77" s="2"/>
    </row>
    <row r="78" spans="1:8" ht="12.75" hidden="1" outlineLevel="2">
      <c r="A78" s="1" t="s">
        <v>28</v>
      </c>
      <c r="B78" s="1"/>
      <c r="C78" s="10">
        <v>40465</v>
      </c>
      <c r="D78" t="s">
        <v>5</v>
      </c>
      <c r="E78" t="s">
        <v>59</v>
      </c>
      <c r="F78" s="26">
        <v>58</v>
      </c>
      <c r="H78" s="2"/>
    </row>
    <row r="79" spans="1:8" ht="12.75" hidden="1" outlineLevel="2">
      <c r="A79" s="1" t="s">
        <v>28</v>
      </c>
      <c r="B79" s="1">
        <v>1945</v>
      </c>
      <c r="C79" s="10">
        <v>40470</v>
      </c>
      <c r="E79" t="s">
        <v>62</v>
      </c>
      <c r="F79" s="26">
        <v>-1176</v>
      </c>
      <c r="H79" s="2"/>
    </row>
    <row r="80" spans="1:8" ht="12.75" hidden="1" outlineLevel="2">
      <c r="A80" s="1" t="s">
        <v>28</v>
      </c>
      <c r="B80" s="1"/>
      <c r="C80" s="10">
        <v>40470</v>
      </c>
      <c r="D80" t="s">
        <v>5</v>
      </c>
      <c r="E80" t="s">
        <v>62</v>
      </c>
      <c r="F80" s="26">
        <v>180</v>
      </c>
      <c r="H80" s="2"/>
    </row>
    <row r="81" spans="1:8" ht="12.75" hidden="1" outlineLevel="2">
      <c r="A81" s="1" t="s">
        <v>28</v>
      </c>
      <c r="B81" s="1"/>
      <c r="C81" s="10">
        <v>40484</v>
      </c>
      <c r="D81" t="s">
        <v>5</v>
      </c>
      <c r="E81" t="s">
        <v>59</v>
      </c>
      <c r="F81" s="26">
        <v>61</v>
      </c>
      <c r="H81" s="2"/>
    </row>
    <row r="82" spans="1:8" ht="12.75" hidden="1" outlineLevel="2">
      <c r="A82" s="1" t="s">
        <v>28</v>
      </c>
      <c r="B82" s="1"/>
      <c r="C82" s="10">
        <v>40499</v>
      </c>
      <c r="D82" t="s">
        <v>5</v>
      </c>
      <c r="E82" t="s">
        <v>62</v>
      </c>
      <c r="F82" s="26">
        <v>74</v>
      </c>
      <c r="H82" s="2"/>
    </row>
    <row r="83" spans="1:8" ht="12.75" hidden="1" outlineLevel="2">
      <c r="A83" s="1" t="s">
        <v>28</v>
      </c>
      <c r="B83" s="1"/>
      <c r="C83" s="10">
        <v>40526</v>
      </c>
      <c r="D83" t="s">
        <v>5</v>
      </c>
      <c r="E83" t="s">
        <v>62</v>
      </c>
      <c r="F83" s="26">
        <v>36</v>
      </c>
      <c r="H83" s="2"/>
    </row>
    <row r="84" spans="1:8" ht="12.75" hidden="1" outlineLevel="2">
      <c r="A84" s="1" t="s">
        <v>28</v>
      </c>
      <c r="B84" s="1"/>
      <c r="C84" s="10">
        <v>40592</v>
      </c>
      <c r="D84" t="s">
        <v>5</v>
      </c>
      <c r="E84" t="s">
        <v>62</v>
      </c>
      <c r="F84" s="26">
        <v>48</v>
      </c>
      <c r="H84" s="2"/>
    </row>
    <row r="85" spans="1:8" ht="12.75" hidden="1" outlineLevel="2">
      <c r="A85" s="1" t="s">
        <v>28</v>
      </c>
      <c r="B85" s="1"/>
      <c r="C85" s="10">
        <v>40634</v>
      </c>
      <c r="D85" t="s">
        <v>5</v>
      </c>
      <c r="E85" t="s">
        <v>62</v>
      </c>
      <c r="F85" s="26">
        <v>60</v>
      </c>
      <c r="H85" s="2"/>
    </row>
    <row r="86" spans="1:8" ht="12.75" hidden="1" outlineLevel="2">
      <c r="A86" s="1" t="s">
        <v>28</v>
      </c>
      <c r="B86" s="1"/>
      <c r="C86" s="10"/>
      <c r="D86" t="s">
        <v>117</v>
      </c>
      <c r="E86" t="s">
        <v>62</v>
      </c>
      <c r="F86" s="26">
        <v>36</v>
      </c>
      <c r="H86" s="2"/>
    </row>
    <row r="87" spans="1:8" ht="12.75" outlineLevel="1" collapsed="1">
      <c r="A87" s="27" t="s">
        <v>74</v>
      </c>
      <c r="B87" s="1"/>
      <c r="C87" s="10"/>
      <c r="F87" s="26">
        <f>SUBTOTAL(9,F77:F86)</f>
        <v>-788.4200000000001</v>
      </c>
      <c r="H87" s="2"/>
    </row>
    <row r="88" spans="1:8" ht="12.75" hidden="1" outlineLevel="2">
      <c r="A88" s="1" t="s">
        <v>69</v>
      </c>
      <c r="B88" s="1">
        <v>1946</v>
      </c>
      <c r="C88" s="10">
        <v>40468</v>
      </c>
      <c r="D88" t="s">
        <v>63</v>
      </c>
      <c r="E88" t="s">
        <v>64</v>
      </c>
      <c r="F88" s="26">
        <v>-350</v>
      </c>
      <c r="H88" s="2"/>
    </row>
    <row r="89" spans="1:8" ht="12.75" outlineLevel="1" collapsed="1">
      <c r="A89" s="27" t="s">
        <v>75</v>
      </c>
      <c r="B89" s="1"/>
      <c r="C89" s="10"/>
      <c r="F89" s="26">
        <f>SUBTOTAL(9,F88:F88)</f>
        <v>-350</v>
      </c>
      <c r="G89" s="34"/>
      <c r="H89" s="2"/>
    </row>
    <row r="90" spans="1:8" ht="12.75" hidden="1" outlineLevel="2">
      <c r="A90" s="1" t="s">
        <v>171</v>
      </c>
      <c r="B90" s="1">
        <v>1990</v>
      </c>
      <c r="C90" s="10">
        <v>40652</v>
      </c>
      <c r="D90" t="s">
        <v>167</v>
      </c>
      <c r="E90" t="s">
        <v>166</v>
      </c>
      <c r="F90" s="26">
        <v>-2</v>
      </c>
      <c r="H90" s="2"/>
    </row>
    <row r="91" spans="1:8" ht="12.75" hidden="1" outlineLevel="2">
      <c r="A91" s="1" t="s">
        <v>171</v>
      </c>
      <c r="B91" s="1">
        <v>1991</v>
      </c>
      <c r="C91" s="10">
        <v>40658</v>
      </c>
      <c r="D91" t="s">
        <v>89</v>
      </c>
      <c r="E91" t="s">
        <v>168</v>
      </c>
      <c r="F91" s="26">
        <v>-204</v>
      </c>
      <c r="H91" s="2"/>
    </row>
    <row r="92" spans="1:8" ht="12.75" hidden="1" outlineLevel="2">
      <c r="A92" s="1" t="s">
        <v>171</v>
      </c>
      <c r="B92" s="1"/>
      <c r="C92" s="10">
        <v>40668</v>
      </c>
      <c r="D92" t="s">
        <v>5</v>
      </c>
      <c r="E92" t="s">
        <v>175</v>
      </c>
      <c r="F92" s="26">
        <v>116</v>
      </c>
      <c r="H92" s="2"/>
    </row>
    <row r="93" spans="1:8" ht="12.75" outlineLevel="1" collapsed="1">
      <c r="A93" s="27" t="s">
        <v>179</v>
      </c>
      <c r="B93" s="1"/>
      <c r="C93" s="10"/>
      <c r="F93" s="26">
        <f>SUBTOTAL(9,F90:F92)</f>
        <v>-90</v>
      </c>
      <c r="G93" s="34"/>
      <c r="H93" s="2"/>
    </row>
    <row r="94" spans="1:8" ht="12.75" hidden="1" outlineLevel="2">
      <c r="A94" s="1" t="s">
        <v>35</v>
      </c>
      <c r="B94" s="1">
        <v>1962</v>
      </c>
      <c r="C94" s="10">
        <v>40525</v>
      </c>
      <c r="D94" t="s">
        <v>110</v>
      </c>
      <c r="E94" t="s">
        <v>111</v>
      </c>
      <c r="F94" s="26">
        <v>-497</v>
      </c>
      <c r="H94" s="2"/>
    </row>
    <row r="95" spans="1:8" ht="12.75" hidden="1" outlineLevel="2">
      <c r="A95" s="1" t="s">
        <v>35</v>
      </c>
      <c r="B95" s="1"/>
      <c r="C95" s="10">
        <v>40534</v>
      </c>
      <c r="D95" t="s">
        <v>5</v>
      </c>
      <c r="F95" s="26">
        <v>200</v>
      </c>
      <c r="H95" s="2"/>
    </row>
    <row r="96" spans="1:8" ht="12.75" outlineLevel="1" collapsed="1">
      <c r="A96" s="27" t="s">
        <v>132</v>
      </c>
      <c r="B96" s="1"/>
      <c r="C96" s="10"/>
      <c r="F96" s="26">
        <f>SUBTOTAL(9,F94:F95)</f>
        <v>-297</v>
      </c>
      <c r="H96" s="2"/>
    </row>
    <row r="97" spans="1:8" ht="12.75" hidden="1" outlineLevel="2">
      <c r="A97" s="1" t="s">
        <v>24</v>
      </c>
      <c r="B97" s="1"/>
      <c r="C97" s="10">
        <v>40484</v>
      </c>
      <c r="D97" t="s">
        <v>5</v>
      </c>
      <c r="E97" t="s">
        <v>70</v>
      </c>
      <c r="F97" s="26">
        <v>630</v>
      </c>
      <c r="H97" s="2"/>
    </row>
    <row r="98" spans="1:8" ht="12.75" hidden="1" outlineLevel="2">
      <c r="A98" s="1" t="s">
        <v>24</v>
      </c>
      <c r="B98" s="1"/>
      <c r="C98" s="10">
        <v>40499</v>
      </c>
      <c r="D98" t="s">
        <v>5</v>
      </c>
      <c r="E98" t="s">
        <v>70</v>
      </c>
      <c r="F98" s="26">
        <v>2060</v>
      </c>
      <c r="H98" s="2"/>
    </row>
    <row r="99" spans="1:8" ht="12.75" hidden="1" outlineLevel="2">
      <c r="A99" s="1" t="s">
        <v>24</v>
      </c>
      <c r="B99" s="1">
        <v>1949</v>
      </c>
      <c r="C99" s="10">
        <v>40499</v>
      </c>
      <c r="D99" t="s">
        <v>80</v>
      </c>
      <c r="E99" t="s">
        <v>81</v>
      </c>
      <c r="F99" s="26">
        <v>-670</v>
      </c>
      <c r="H99" s="2"/>
    </row>
    <row r="100" spans="1:8" ht="12.75" hidden="1" outlineLevel="2">
      <c r="A100" s="1" t="s">
        <v>24</v>
      </c>
      <c r="B100" s="1">
        <v>1950</v>
      </c>
      <c r="C100" s="10">
        <v>40512</v>
      </c>
      <c r="D100" t="s">
        <v>80</v>
      </c>
      <c r="E100" t="s">
        <v>82</v>
      </c>
      <c r="F100" s="26">
        <v>-256</v>
      </c>
      <c r="H100" s="2"/>
    </row>
    <row r="101" spans="1:8" ht="12.75" hidden="1" outlineLevel="2">
      <c r="A101" s="1" t="s">
        <v>24</v>
      </c>
      <c r="B101" s="1">
        <v>1953</v>
      </c>
      <c r="C101" s="10">
        <v>40515</v>
      </c>
      <c r="D101" t="s">
        <v>89</v>
      </c>
      <c r="E101" t="s">
        <v>99</v>
      </c>
      <c r="F101" s="26">
        <v>-35.99</v>
      </c>
      <c r="H101" s="2"/>
    </row>
    <row r="102" spans="1:8" ht="12.75" hidden="1" outlineLevel="2">
      <c r="A102" s="1" t="s">
        <v>24</v>
      </c>
      <c r="B102" s="1">
        <v>1955</v>
      </c>
      <c r="C102" s="10">
        <v>40515</v>
      </c>
      <c r="D102" t="s">
        <v>91</v>
      </c>
      <c r="E102" t="s">
        <v>99</v>
      </c>
      <c r="F102" s="26">
        <v>-96.84</v>
      </c>
      <c r="H102" s="2"/>
    </row>
    <row r="103" spans="1:8" ht="12.75" hidden="1" outlineLevel="2">
      <c r="A103" s="1" t="s">
        <v>24</v>
      </c>
      <c r="B103" s="1">
        <v>1956</v>
      </c>
      <c r="C103" s="10">
        <v>40516</v>
      </c>
      <c r="D103" t="s">
        <v>93</v>
      </c>
      <c r="E103" t="s">
        <v>94</v>
      </c>
      <c r="F103" s="26">
        <v>-390</v>
      </c>
      <c r="H103" s="2"/>
    </row>
    <row r="104" spans="1:8" ht="12.75" hidden="1" outlineLevel="2">
      <c r="A104" s="1" t="s">
        <v>24</v>
      </c>
      <c r="B104" s="1">
        <v>1957</v>
      </c>
      <c r="C104" s="10">
        <v>40516</v>
      </c>
      <c r="D104" t="s">
        <v>95</v>
      </c>
      <c r="E104" t="s">
        <v>96</v>
      </c>
      <c r="F104" s="26">
        <v>-500</v>
      </c>
      <c r="H104" s="2"/>
    </row>
    <row r="105" spans="1:8" ht="12.75" hidden="1" outlineLevel="2">
      <c r="A105" s="1" t="s">
        <v>24</v>
      </c>
      <c r="B105" s="1">
        <v>1958</v>
      </c>
      <c r="C105" s="10">
        <v>40516</v>
      </c>
      <c r="D105" t="s">
        <v>97</v>
      </c>
      <c r="E105" t="s">
        <v>98</v>
      </c>
      <c r="F105" s="26">
        <v>-2801</v>
      </c>
      <c r="H105" s="2"/>
    </row>
    <row r="106" spans="1:8" ht="12.75" hidden="1" outlineLevel="2">
      <c r="A106" s="1" t="s">
        <v>24</v>
      </c>
      <c r="B106" s="1"/>
      <c r="C106" s="10">
        <v>40519</v>
      </c>
      <c r="D106" t="s">
        <v>5</v>
      </c>
      <c r="E106" t="s">
        <v>103</v>
      </c>
      <c r="F106" s="26">
        <v>14867.5</v>
      </c>
      <c r="H106" s="2"/>
    </row>
    <row r="107" spans="1:8" ht="12.75" hidden="1" outlineLevel="2">
      <c r="A107" s="1" t="s">
        <v>24</v>
      </c>
      <c r="B107" s="1">
        <v>1959</v>
      </c>
      <c r="C107" s="10">
        <v>40520</v>
      </c>
      <c r="D107" t="s">
        <v>91</v>
      </c>
      <c r="E107" t="s">
        <v>99</v>
      </c>
      <c r="F107" s="26">
        <v>-197.95</v>
      </c>
      <c r="H107" s="2"/>
    </row>
    <row r="108" spans="1:8" ht="12.75" hidden="1" outlineLevel="2">
      <c r="A108" s="1" t="s">
        <v>24</v>
      </c>
      <c r="B108" s="1">
        <v>1960</v>
      </c>
      <c r="C108" s="10">
        <v>40520</v>
      </c>
      <c r="D108" t="s">
        <v>101</v>
      </c>
      <c r="E108" t="s">
        <v>102</v>
      </c>
      <c r="F108" s="26">
        <v>-99.875</v>
      </c>
      <c r="H108" s="2"/>
    </row>
    <row r="109" spans="1:8" ht="12.75" hidden="1" outlineLevel="2">
      <c r="A109" s="1" t="s">
        <v>24</v>
      </c>
      <c r="B109" s="1">
        <v>1961</v>
      </c>
      <c r="C109" s="10">
        <v>40520</v>
      </c>
      <c r="D109" t="s">
        <v>115</v>
      </c>
      <c r="E109" t="s">
        <v>109</v>
      </c>
      <c r="F109" s="26">
        <v>-7.5</v>
      </c>
      <c r="H109" s="2"/>
    </row>
    <row r="110" spans="1:8" ht="12.75" hidden="1" outlineLevel="2">
      <c r="A110" s="1" t="s">
        <v>24</v>
      </c>
      <c r="B110" s="1"/>
      <c r="C110" s="10">
        <v>40526</v>
      </c>
      <c r="D110" t="s">
        <v>5</v>
      </c>
      <c r="E110" t="s">
        <v>70</v>
      </c>
      <c r="F110" s="26">
        <v>225</v>
      </c>
      <c r="H110" s="2"/>
    </row>
    <row r="111" spans="1:8" ht="12.75" hidden="1" outlineLevel="2">
      <c r="A111" s="1" t="s">
        <v>24</v>
      </c>
      <c r="B111" s="1">
        <v>1963</v>
      </c>
      <c r="C111" s="10">
        <v>40529</v>
      </c>
      <c r="D111" t="s">
        <v>112</v>
      </c>
      <c r="E111" t="s">
        <v>99</v>
      </c>
      <c r="F111" s="26">
        <v>-27</v>
      </c>
      <c r="H111" s="2"/>
    </row>
    <row r="112" spans="1:8" ht="12.75" hidden="1" outlineLevel="2">
      <c r="A112" s="1" t="s">
        <v>24</v>
      </c>
      <c r="B112" s="1">
        <v>1964</v>
      </c>
      <c r="C112" s="10">
        <v>40529</v>
      </c>
      <c r="D112" t="s">
        <v>113</v>
      </c>
      <c r="E112" t="s">
        <v>99</v>
      </c>
      <c r="F112" s="26">
        <v>-21.64</v>
      </c>
      <c r="H112" s="2"/>
    </row>
    <row r="113" spans="1:8" ht="12.75" hidden="1" outlineLevel="2">
      <c r="A113" s="1" t="s">
        <v>24</v>
      </c>
      <c r="B113" s="1">
        <v>1965</v>
      </c>
      <c r="C113" s="10">
        <v>40529</v>
      </c>
      <c r="D113" t="s">
        <v>80</v>
      </c>
      <c r="E113" t="s">
        <v>99</v>
      </c>
      <c r="F113" s="26">
        <v>-117.99</v>
      </c>
      <c r="H113" s="2"/>
    </row>
    <row r="114" spans="1:8" ht="12.75" hidden="1" outlineLevel="2">
      <c r="A114" s="1" t="s">
        <v>24</v>
      </c>
      <c r="B114" s="1">
        <v>1966</v>
      </c>
      <c r="C114" s="10">
        <v>40529</v>
      </c>
      <c r="D114" t="s">
        <v>116</v>
      </c>
      <c r="E114" t="s">
        <v>114</v>
      </c>
      <c r="F114" s="26">
        <v>-230</v>
      </c>
      <c r="H114" s="2"/>
    </row>
    <row r="115" spans="1:8" ht="12.75" hidden="1" outlineLevel="2">
      <c r="A115" s="1" t="s">
        <v>24</v>
      </c>
      <c r="B115" s="1"/>
      <c r="C115" s="10">
        <v>40534</v>
      </c>
      <c r="D115" t="s">
        <v>5</v>
      </c>
      <c r="F115" s="26">
        <v>7</v>
      </c>
      <c r="H115" s="2"/>
    </row>
    <row r="116" spans="1:8" ht="12.75" hidden="1" outlineLevel="2">
      <c r="A116" s="1" t="s">
        <v>24</v>
      </c>
      <c r="B116" s="1"/>
      <c r="C116" s="10"/>
      <c r="D116" t="s">
        <v>117</v>
      </c>
      <c r="E116" t="s">
        <v>118</v>
      </c>
      <c r="F116" s="26">
        <v>40</v>
      </c>
      <c r="H116" s="2"/>
    </row>
    <row r="117" spans="1:8" ht="12.75" outlineLevel="1" collapsed="1">
      <c r="A117" s="27" t="s">
        <v>76</v>
      </c>
      <c r="B117" s="1"/>
      <c r="C117" s="10"/>
      <c r="F117" s="26">
        <f>SUBTOTAL(9,F97:F116)</f>
        <v>12377.715</v>
      </c>
      <c r="H117" s="2"/>
    </row>
    <row r="118" spans="1:8" ht="12.75" hidden="1" outlineLevel="2">
      <c r="A118" s="1" t="s">
        <v>44</v>
      </c>
      <c r="B118" s="1">
        <v>1941</v>
      </c>
      <c r="C118" s="10">
        <v>40449</v>
      </c>
      <c r="D118" t="s">
        <v>45</v>
      </c>
      <c r="E118" t="s">
        <v>46</v>
      </c>
      <c r="F118" s="26">
        <v>-200</v>
      </c>
      <c r="H118" s="2"/>
    </row>
    <row r="119" spans="1:8" ht="12.75" hidden="1" outlineLevel="2">
      <c r="A119" s="1" t="s">
        <v>44</v>
      </c>
      <c r="B119" s="1"/>
      <c r="C119" s="10">
        <v>40465</v>
      </c>
      <c r="D119" t="s">
        <v>5</v>
      </c>
      <c r="E119" t="s">
        <v>57</v>
      </c>
      <c r="F119" s="26">
        <v>730</v>
      </c>
      <c r="H119" s="2"/>
    </row>
    <row r="120" spans="1:8" ht="12.75" hidden="1" outlineLevel="2">
      <c r="A120" s="1" t="s">
        <v>44</v>
      </c>
      <c r="B120" s="1"/>
      <c r="C120" s="10">
        <v>40484</v>
      </c>
      <c r="D120" t="s">
        <v>5</v>
      </c>
      <c r="E120" t="s">
        <v>57</v>
      </c>
      <c r="F120" s="26">
        <v>225</v>
      </c>
      <c r="H120" s="2"/>
    </row>
    <row r="121" spans="1:8" ht="12.75" hidden="1" outlineLevel="2">
      <c r="A121" s="1" t="s">
        <v>44</v>
      </c>
      <c r="B121" s="1"/>
      <c r="C121" s="10">
        <v>40499</v>
      </c>
      <c r="D121" t="s">
        <v>5</v>
      </c>
      <c r="E121" t="s">
        <v>57</v>
      </c>
      <c r="F121" s="26">
        <v>45</v>
      </c>
      <c r="H121" s="2"/>
    </row>
    <row r="122" spans="1:8" ht="12.75" hidden="1" outlineLevel="2">
      <c r="A122" s="1" t="s">
        <v>44</v>
      </c>
      <c r="B122" s="1"/>
      <c r="C122" s="10">
        <v>40499</v>
      </c>
      <c r="D122" t="s">
        <v>5</v>
      </c>
      <c r="E122" t="s">
        <v>172</v>
      </c>
      <c r="F122" s="26">
        <v>141.08</v>
      </c>
      <c r="H122" s="2"/>
    </row>
    <row r="123" spans="1:8" ht="12.75" hidden="1" outlineLevel="2">
      <c r="A123" s="1" t="s">
        <v>44</v>
      </c>
      <c r="B123" s="1">
        <v>1952</v>
      </c>
      <c r="C123" s="10">
        <v>40514</v>
      </c>
      <c r="D123" t="s">
        <v>87</v>
      </c>
      <c r="E123" t="s">
        <v>88</v>
      </c>
      <c r="F123" s="26">
        <v>-912.45</v>
      </c>
      <c r="H123" s="2"/>
    </row>
    <row r="124" spans="1:8" ht="12.75" outlineLevel="1" collapsed="1">
      <c r="A124" s="27" t="s">
        <v>181</v>
      </c>
      <c r="B124" s="1"/>
      <c r="C124" s="10"/>
      <c r="F124" s="26">
        <f>SUBTOTAL(9,F118:F123)</f>
        <v>28.629999999999995</v>
      </c>
      <c r="H124" s="2"/>
    </row>
    <row r="125" spans="1:8" ht="12.75" hidden="1" outlineLevel="2">
      <c r="A125" s="1" t="s">
        <v>84</v>
      </c>
      <c r="B125" s="1">
        <v>1951</v>
      </c>
      <c r="C125" s="10">
        <v>40513</v>
      </c>
      <c r="D125" t="s">
        <v>85</v>
      </c>
      <c r="E125" t="s">
        <v>86</v>
      </c>
      <c r="F125" s="26">
        <v>-1822.8</v>
      </c>
      <c r="H125" s="2"/>
    </row>
    <row r="126" spans="1:8" ht="12.75" hidden="1" outlineLevel="2">
      <c r="A126" s="1" t="s">
        <v>84</v>
      </c>
      <c r="B126" s="1">
        <v>1978</v>
      </c>
      <c r="C126" s="10">
        <v>40598</v>
      </c>
      <c r="D126" t="s">
        <v>85</v>
      </c>
      <c r="E126" t="s">
        <v>144</v>
      </c>
      <c r="F126" s="26">
        <v>-1822.8</v>
      </c>
      <c r="H126" s="2"/>
    </row>
    <row r="127" spans="1:8" ht="12.75" hidden="1" outlineLevel="2">
      <c r="A127" s="1" t="s">
        <v>84</v>
      </c>
      <c r="B127" s="1"/>
      <c r="C127" s="10">
        <v>40668</v>
      </c>
      <c r="D127" t="s">
        <v>5</v>
      </c>
      <c r="E127" t="s">
        <v>174</v>
      </c>
      <c r="F127" s="26">
        <v>185</v>
      </c>
      <c r="H127" s="2"/>
    </row>
    <row r="128" spans="1:8" ht="12.75" outlineLevel="1" collapsed="1">
      <c r="A128" s="27" t="s">
        <v>107</v>
      </c>
      <c r="B128" s="1"/>
      <c r="C128" s="10"/>
      <c r="F128" s="26">
        <f>SUBTOTAL(9,F125:F127)</f>
        <v>-3460.6</v>
      </c>
      <c r="G128" s="34"/>
      <c r="H128" s="2"/>
    </row>
    <row r="129" spans="1:8" ht="12.75">
      <c r="A129" s="27" t="s">
        <v>184</v>
      </c>
      <c r="B129" s="1"/>
      <c r="C129" s="10"/>
      <c r="F129" s="3">
        <f>SUBTOTAL(9,F6:F127)</f>
        <v>30901.485000000008</v>
      </c>
      <c r="H129" s="2"/>
    </row>
    <row r="130" ht="12.75">
      <c r="H130" s="2"/>
    </row>
    <row r="131" ht="12.75">
      <c r="H131" s="2"/>
    </row>
    <row r="132" spans="1:8" ht="12.75">
      <c r="A132" s="35" t="s">
        <v>180</v>
      </c>
      <c r="F132" s="41">
        <f>+F129-F7</f>
        <v>23389.27500000001</v>
      </c>
      <c r="G132" s="44">
        <v>31000</v>
      </c>
      <c r="H132" s="44"/>
    </row>
    <row r="133" ht="12.75">
      <c r="H133" s="2"/>
    </row>
    <row r="134" spans="1:8" ht="12.75">
      <c r="A134" s="60"/>
      <c r="B134" s="60"/>
      <c r="C134" s="60"/>
      <c r="D134" s="60"/>
      <c r="E134" s="60"/>
      <c r="F134" s="61"/>
      <c r="G134" s="62"/>
      <c r="H134" s="2"/>
    </row>
    <row r="135" ht="12.75">
      <c r="H135" s="2"/>
    </row>
    <row r="136" spans="1:8" ht="12.75">
      <c r="A136" s="109" t="s">
        <v>217</v>
      </c>
      <c r="B136" s="109"/>
      <c r="C136" s="109"/>
      <c r="D136" s="109"/>
      <c r="E136" s="109"/>
      <c r="F136" s="109"/>
      <c r="G136" s="109"/>
      <c r="H136" s="2"/>
    </row>
    <row r="137" ht="12.75">
      <c r="H137" s="2"/>
    </row>
    <row r="138" spans="1:8" ht="12.75">
      <c r="A138" s="4" t="s">
        <v>229</v>
      </c>
      <c r="G138" s="3">
        <f>+G132</f>
        <v>31000</v>
      </c>
      <c r="H138" s="2"/>
    </row>
    <row r="139" spans="1:8" ht="12.75">
      <c r="A139" t="s">
        <v>218</v>
      </c>
      <c r="F139" s="26"/>
      <c r="H139" s="2"/>
    </row>
    <row r="140" spans="1:8" ht="12.75">
      <c r="A140" t="s">
        <v>219</v>
      </c>
      <c r="F140" s="26"/>
      <c r="G140" s="2">
        <v>0</v>
      </c>
      <c r="H140" s="2"/>
    </row>
    <row r="141" spans="1:8" ht="12.75">
      <c r="A141" t="s">
        <v>220</v>
      </c>
      <c r="F141" s="26"/>
      <c r="G141" s="2">
        <v>-4000</v>
      </c>
      <c r="H141" s="2"/>
    </row>
    <row r="142" spans="1:8" ht="12.75">
      <c r="A142" t="s">
        <v>221</v>
      </c>
      <c r="F142" s="26"/>
      <c r="G142" s="2">
        <v>-500</v>
      </c>
      <c r="H142" s="2"/>
    </row>
    <row r="143" spans="1:7" ht="12.75">
      <c r="A143" t="s">
        <v>222</v>
      </c>
      <c r="G143" s="2">
        <v>0</v>
      </c>
    </row>
    <row r="145" spans="1:7" ht="12.75">
      <c r="A145" s="4" t="s">
        <v>224</v>
      </c>
      <c r="G145" s="3" t="s">
        <v>223</v>
      </c>
    </row>
    <row r="146" spans="1:7" ht="12.75">
      <c r="A146" s="4"/>
      <c r="G146" s="3"/>
    </row>
    <row r="147" spans="1:7" ht="12.75">
      <c r="A147" s="4" t="s">
        <v>230</v>
      </c>
      <c r="G147" s="3"/>
    </row>
    <row r="148" spans="1:7" ht="12.75">
      <c r="A148" s="33" t="s">
        <v>226</v>
      </c>
      <c r="G148" s="26">
        <v>30901.49</v>
      </c>
    </row>
    <row r="149" spans="1:7" ht="12.75">
      <c r="A149" s="33" t="s">
        <v>227</v>
      </c>
      <c r="G149" s="26">
        <v>5003.68</v>
      </c>
    </row>
    <row r="150" spans="1:7" ht="12.75">
      <c r="A150" s="4" t="s">
        <v>228</v>
      </c>
      <c r="G150" s="26"/>
    </row>
    <row r="152" ht="12.75">
      <c r="A152" s="4" t="s">
        <v>233</v>
      </c>
    </row>
    <row r="153" ht="12.75">
      <c r="A153" s="33" t="s">
        <v>232</v>
      </c>
    </row>
    <row r="154" ht="12.75">
      <c r="A154" s="33" t="s">
        <v>225</v>
      </c>
    </row>
    <row r="155" ht="12.75">
      <c r="A155" s="33" t="s">
        <v>234</v>
      </c>
    </row>
  </sheetData>
  <sheetProtection/>
  <mergeCells count="3">
    <mergeCell ref="A136:G136"/>
    <mergeCell ref="A1:G1"/>
    <mergeCell ref="A2:G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258"/>
  <sheetViews>
    <sheetView zoomScalePageLayoutView="0" workbookViewId="0" topLeftCell="A1">
      <selection activeCell="F163" sqref="F163"/>
    </sheetView>
  </sheetViews>
  <sheetFormatPr defaultColWidth="9.140625" defaultRowHeight="12.75" outlineLevelRow="2"/>
  <cols>
    <col min="1" max="1" width="26.421875" style="0" customWidth="1"/>
    <col min="2" max="2" width="9.140625" style="0" hidden="1" customWidth="1"/>
    <col min="3" max="3" width="10.140625" style="0" hidden="1" customWidth="1"/>
    <col min="4" max="4" width="18.140625" style="0" hidden="1" customWidth="1"/>
    <col min="5" max="5" width="8.57421875" style="0" customWidth="1"/>
    <col min="6" max="6" width="11.8515625" style="0" bestFit="1" customWidth="1"/>
  </cols>
  <sheetData>
    <row r="1" spans="1:6" ht="12.75">
      <c r="A1" s="109" t="s">
        <v>1</v>
      </c>
      <c r="B1" s="109"/>
      <c r="C1" s="109"/>
      <c r="D1" s="109"/>
      <c r="E1" s="109"/>
      <c r="F1" s="109"/>
    </row>
    <row r="2" spans="1:6" ht="12.75">
      <c r="A2" s="109" t="s">
        <v>276</v>
      </c>
      <c r="B2" s="109"/>
      <c r="C2" s="109"/>
      <c r="D2" s="109"/>
      <c r="E2" s="109"/>
      <c r="F2" s="109"/>
    </row>
    <row r="3" spans="1:6" ht="12.75">
      <c r="A3" s="109" t="s">
        <v>274</v>
      </c>
      <c r="B3" s="109"/>
      <c r="C3" s="109"/>
      <c r="D3" s="109"/>
      <c r="E3" s="109"/>
      <c r="F3" s="109"/>
    </row>
    <row r="4" spans="1:6" ht="12.75">
      <c r="A4" s="109" t="s">
        <v>275</v>
      </c>
      <c r="B4" s="109"/>
      <c r="C4" s="109"/>
      <c r="D4" s="109"/>
      <c r="E4" s="109"/>
      <c r="F4" s="109"/>
    </row>
    <row r="5" spans="1:6" ht="12.75">
      <c r="A5" s="35"/>
      <c r="B5" s="35"/>
      <c r="C5" s="35"/>
      <c r="D5" s="35"/>
      <c r="E5" s="35"/>
      <c r="F5" s="35"/>
    </row>
    <row r="6" spans="1:6" ht="12.75">
      <c r="A6" s="35"/>
      <c r="B6" s="35"/>
      <c r="C6" s="35"/>
      <c r="D6" s="35"/>
      <c r="E6" s="35"/>
      <c r="F6" s="35"/>
    </row>
    <row r="8" spans="1:6" s="1" customFormat="1" ht="12.75">
      <c r="A8" s="35" t="s">
        <v>264</v>
      </c>
      <c r="F8" s="35" t="s">
        <v>133</v>
      </c>
    </row>
    <row r="9" spans="1:6" ht="12.75" hidden="1" outlineLevel="2">
      <c r="A9" s="34" t="s">
        <v>104</v>
      </c>
      <c r="B9" s="1"/>
      <c r="C9" s="10"/>
      <c r="E9" s="4" t="s">
        <v>52</v>
      </c>
      <c r="F9" s="26">
        <v>7512.21</v>
      </c>
    </row>
    <row r="10" spans="1:6" ht="12.75" outlineLevel="1" collapsed="1">
      <c r="A10" s="68" t="s">
        <v>105</v>
      </c>
      <c r="B10" s="1"/>
      <c r="C10" s="10"/>
      <c r="E10" s="4"/>
      <c r="F10" s="26">
        <f>SUBTOTAL(9,F9:F9)</f>
        <v>7512.21</v>
      </c>
    </row>
    <row r="11" spans="1:6" ht="12.75" hidden="1" outlineLevel="2">
      <c r="A11" s="34" t="s">
        <v>26</v>
      </c>
      <c r="B11" s="1"/>
      <c r="C11" s="10">
        <v>40561</v>
      </c>
      <c r="D11" t="s">
        <v>5</v>
      </c>
      <c r="E11" t="s">
        <v>127</v>
      </c>
      <c r="F11" s="26">
        <v>1306.1</v>
      </c>
    </row>
    <row r="12" spans="1:6" ht="12.75" hidden="1" outlineLevel="2">
      <c r="A12" s="34" t="s">
        <v>26</v>
      </c>
      <c r="B12" s="1"/>
      <c r="C12" s="10">
        <v>40668</v>
      </c>
      <c r="D12" t="s">
        <v>5</v>
      </c>
      <c r="E12" t="s">
        <v>127</v>
      </c>
      <c r="F12" s="26">
        <v>442.9</v>
      </c>
    </row>
    <row r="13" spans="1:6" ht="12.75" hidden="1" outlineLevel="2">
      <c r="A13" s="34" t="s">
        <v>26</v>
      </c>
      <c r="B13" s="1">
        <v>2007</v>
      </c>
      <c r="C13" s="10">
        <v>40698</v>
      </c>
      <c r="D13" t="s">
        <v>256</v>
      </c>
      <c r="E13" t="s">
        <v>257</v>
      </c>
      <c r="F13" s="26">
        <v>-130</v>
      </c>
    </row>
    <row r="14" spans="1:6" ht="12.75" outlineLevel="1" collapsed="1">
      <c r="A14" s="34" t="s">
        <v>130</v>
      </c>
      <c r="B14" s="1"/>
      <c r="C14" s="10"/>
      <c r="F14" s="26">
        <f>SUBTOTAL(9,F11:F13)</f>
        <v>1619</v>
      </c>
    </row>
    <row r="15" spans="1:6" ht="12.75" hidden="1" outlineLevel="2">
      <c r="A15" s="34" t="s">
        <v>56</v>
      </c>
      <c r="B15" s="1"/>
      <c r="C15" s="10">
        <v>40465</v>
      </c>
      <c r="D15" t="s">
        <v>5</v>
      </c>
      <c r="E15" t="s">
        <v>58</v>
      </c>
      <c r="F15" s="26">
        <v>35</v>
      </c>
    </row>
    <row r="16" spans="1:6" ht="12.75" hidden="1" outlineLevel="2">
      <c r="A16" s="34" t="s">
        <v>56</v>
      </c>
      <c r="B16" s="1"/>
      <c r="C16" s="10">
        <v>40470</v>
      </c>
      <c r="D16" t="s">
        <v>5</v>
      </c>
      <c r="E16" t="s">
        <v>58</v>
      </c>
      <c r="F16" s="26">
        <v>850</v>
      </c>
    </row>
    <row r="17" spans="1:6" ht="12.75" hidden="1" outlineLevel="2">
      <c r="A17" s="34" t="s">
        <v>56</v>
      </c>
      <c r="B17" s="1"/>
      <c r="C17" s="10">
        <v>40484</v>
      </c>
      <c r="D17" t="s">
        <v>5</v>
      </c>
      <c r="E17" t="s">
        <v>58</v>
      </c>
      <c r="F17" s="26">
        <v>450</v>
      </c>
    </row>
    <row r="18" spans="1:6" ht="12.75" hidden="1" outlineLevel="2">
      <c r="A18" s="34" t="s">
        <v>56</v>
      </c>
      <c r="B18" s="1"/>
      <c r="C18" s="10">
        <v>40592</v>
      </c>
      <c r="D18" t="s">
        <v>5</v>
      </c>
      <c r="E18" t="s">
        <v>58</v>
      </c>
      <c r="F18" s="26">
        <v>125</v>
      </c>
    </row>
    <row r="19" spans="1:6" ht="12.75" outlineLevel="1" collapsed="1">
      <c r="A19" s="34" t="s">
        <v>71</v>
      </c>
      <c r="B19" s="1"/>
      <c r="C19" s="10"/>
      <c r="F19" s="26">
        <f>SUBTOTAL(9,F15:F18)</f>
        <v>1460</v>
      </c>
    </row>
    <row r="20" spans="1:6" ht="12.75" hidden="1" outlineLevel="2">
      <c r="A20" s="34" t="s">
        <v>25</v>
      </c>
      <c r="B20" s="1"/>
      <c r="C20" s="10">
        <v>40561</v>
      </c>
      <c r="D20" t="s">
        <v>5</v>
      </c>
      <c r="E20" t="s">
        <v>128</v>
      </c>
      <c r="F20" s="26">
        <v>745</v>
      </c>
    </row>
    <row r="21" spans="1:6" ht="12.75" hidden="1" outlineLevel="2">
      <c r="A21" s="34" t="s">
        <v>25</v>
      </c>
      <c r="B21" s="1"/>
      <c r="C21" s="10">
        <v>40592</v>
      </c>
      <c r="D21" t="s">
        <v>5</v>
      </c>
      <c r="E21" t="s">
        <v>25</v>
      </c>
      <c r="F21" s="26">
        <v>4602.46</v>
      </c>
    </row>
    <row r="22" spans="1:6" ht="12.75" hidden="1" outlineLevel="2">
      <c r="A22" s="34" t="s">
        <v>25</v>
      </c>
      <c r="B22" s="1">
        <v>1977</v>
      </c>
      <c r="C22" s="10">
        <v>40596</v>
      </c>
      <c r="D22" t="s">
        <v>142</v>
      </c>
      <c r="E22" t="s">
        <v>143</v>
      </c>
      <c r="F22" s="26">
        <v>-1001.5</v>
      </c>
    </row>
    <row r="23" spans="1:6" ht="12.75" hidden="1" outlineLevel="2">
      <c r="A23" s="34" t="s">
        <v>25</v>
      </c>
      <c r="B23" s="1">
        <v>1979</v>
      </c>
      <c r="C23" s="10">
        <v>40598</v>
      </c>
      <c r="D23" t="s">
        <v>145</v>
      </c>
      <c r="E23" t="s">
        <v>146</v>
      </c>
      <c r="F23" s="26">
        <v>-323.8</v>
      </c>
    </row>
    <row r="24" spans="1:6" ht="12.75" hidden="1" outlineLevel="2">
      <c r="A24" s="34" t="s">
        <v>25</v>
      </c>
      <c r="B24" s="1">
        <v>1980</v>
      </c>
      <c r="C24" s="10">
        <v>40599</v>
      </c>
      <c r="D24" t="s">
        <v>149</v>
      </c>
      <c r="E24" t="s">
        <v>148</v>
      </c>
      <c r="F24" s="26">
        <v>-600</v>
      </c>
    </row>
    <row r="25" spans="1:6" ht="12.75" hidden="1" outlineLevel="2">
      <c r="A25" s="34" t="s">
        <v>25</v>
      </c>
      <c r="B25" s="1"/>
      <c r="C25" s="10">
        <v>40603</v>
      </c>
      <c r="D25" t="s">
        <v>5</v>
      </c>
      <c r="E25" t="s">
        <v>25</v>
      </c>
      <c r="F25" s="26">
        <v>2960</v>
      </c>
    </row>
    <row r="26" spans="1:6" ht="12.75" hidden="1" outlineLevel="2">
      <c r="A26" s="34" t="s">
        <v>25</v>
      </c>
      <c r="B26" s="1">
        <v>1981</v>
      </c>
      <c r="C26" s="10">
        <v>40603</v>
      </c>
      <c r="D26" t="s">
        <v>150</v>
      </c>
      <c r="E26" t="s">
        <v>152</v>
      </c>
      <c r="F26" s="26">
        <v>-50</v>
      </c>
    </row>
    <row r="27" spans="1:6" ht="12.75" hidden="1" outlineLevel="2">
      <c r="A27" s="34" t="s">
        <v>25</v>
      </c>
      <c r="B27" s="1">
        <v>1982</v>
      </c>
      <c r="C27" s="10">
        <v>40603</v>
      </c>
      <c r="D27" t="s">
        <v>151</v>
      </c>
      <c r="E27" t="s">
        <v>152</v>
      </c>
      <c r="F27" s="26">
        <v>-344</v>
      </c>
    </row>
    <row r="28" spans="1:6" ht="12.75" hidden="1" outlineLevel="2">
      <c r="A28" s="34" t="s">
        <v>25</v>
      </c>
      <c r="B28" s="1">
        <v>1984</v>
      </c>
      <c r="C28" s="10">
        <v>40610</v>
      </c>
      <c r="D28" t="s">
        <v>158</v>
      </c>
      <c r="E28" t="s">
        <v>159</v>
      </c>
      <c r="F28" s="26">
        <v>-1500</v>
      </c>
    </row>
    <row r="29" spans="1:6" ht="12.75" hidden="1" outlineLevel="2">
      <c r="A29" s="34" t="s">
        <v>25</v>
      </c>
      <c r="B29" s="1">
        <v>1987</v>
      </c>
      <c r="C29" s="10">
        <v>40617</v>
      </c>
      <c r="D29" t="s">
        <v>162</v>
      </c>
      <c r="E29" t="s">
        <v>163</v>
      </c>
      <c r="F29" s="26">
        <v>-75</v>
      </c>
    </row>
    <row r="30" spans="1:6" ht="12.75" hidden="1" outlineLevel="2">
      <c r="A30" s="34" t="s">
        <v>25</v>
      </c>
      <c r="B30" s="1">
        <v>1988</v>
      </c>
      <c r="C30" s="10">
        <v>40617</v>
      </c>
      <c r="D30" t="s">
        <v>164</v>
      </c>
      <c r="E30" t="s">
        <v>163</v>
      </c>
      <c r="F30" s="26">
        <v>-75</v>
      </c>
    </row>
    <row r="31" spans="1:6" ht="12.75" hidden="1" outlineLevel="2">
      <c r="A31" s="34" t="s">
        <v>25</v>
      </c>
      <c r="B31" s="1"/>
      <c r="C31" s="10">
        <v>40634</v>
      </c>
      <c r="D31" t="s">
        <v>5</v>
      </c>
      <c r="E31" t="s">
        <v>148</v>
      </c>
      <c r="F31" s="26">
        <v>3510</v>
      </c>
    </row>
    <row r="32" spans="1:6" ht="12.75" hidden="1" outlineLevel="2">
      <c r="A32" s="34" t="s">
        <v>25</v>
      </c>
      <c r="B32" s="1">
        <v>1998</v>
      </c>
      <c r="C32" s="10">
        <v>40683</v>
      </c>
      <c r="D32" t="s">
        <v>237</v>
      </c>
      <c r="E32" t="s">
        <v>238</v>
      </c>
      <c r="F32" s="26">
        <v>-75</v>
      </c>
    </row>
    <row r="33" spans="1:6" ht="12.75" hidden="1" outlineLevel="2">
      <c r="A33" s="34" t="s">
        <v>25</v>
      </c>
      <c r="B33" s="1"/>
      <c r="C33" s="10">
        <v>40700</v>
      </c>
      <c r="D33" t="s">
        <v>5</v>
      </c>
      <c r="E33" t="s">
        <v>258</v>
      </c>
      <c r="F33" s="26">
        <v>324.8</v>
      </c>
    </row>
    <row r="34" spans="1:6" ht="12.75" outlineLevel="1" collapsed="1">
      <c r="A34" s="34" t="s">
        <v>131</v>
      </c>
      <c r="B34" s="1"/>
      <c r="C34" s="10"/>
      <c r="F34" s="26">
        <f>SUBTOTAL(9,F20:F33)</f>
        <v>8097.96</v>
      </c>
    </row>
    <row r="35" spans="1:6" ht="12.75" hidden="1" outlineLevel="2">
      <c r="A35" s="34" t="s">
        <v>68</v>
      </c>
      <c r="B35" s="1"/>
      <c r="C35" s="10">
        <v>40470</v>
      </c>
      <c r="D35" t="s">
        <v>5</v>
      </c>
      <c r="E35" t="s">
        <v>66</v>
      </c>
      <c r="F35" s="26">
        <v>8817</v>
      </c>
    </row>
    <row r="36" spans="1:6" ht="12.75" hidden="1" outlineLevel="2">
      <c r="A36" s="34" t="s">
        <v>68</v>
      </c>
      <c r="B36" s="1">
        <v>1947</v>
      </c>
      <c r="C36" s="10">
        <v>40470</v>
      </c>
      <c r="D36" t="s">
        <v>65</v>
      </c>
      <c r="E36" t="s">
        <v>67</v>
      </c>
      <c r="F36" s="26">
        <v>-4784.5</v>
      </c>
    </row>
    <row r="37" spans="1:6" ht="12.75" hidden="1" outlineLevel="2">
      <c r="A37" s="34" t="s">
        <v>68</v>
      </c>
      <c r="B37" s="1"/>
      <c r="C37" s="10">
        <v>40484</v>
      </c>
      <c r="D37" t="s">
        <v>5</v>
      </c>
      <c r="E37" t="s">
        <v>66</v>
      </c>
      <c r="F37" s="26">
        <v>32.5</v>
      </c>
    </row>
    <row r="38" spans="1:6" ht="12.75" hidden="1" outlineLevel="2">
      <c r="A38" s="34" t="s">
        <v>68</v>
      </c>
      <c r="B38" s="1"/>
      <c r="C38" s="10">
        <v>40499</v>
      </c>
      <c r="D38" t="s">
        <v>5</v>
      </c>
      <c r="E38" t="s">
        <v>66</v>
      </c>
      <c r="F38" s="26">
        <v>14.8</v>
      </c>
    </row>
    <row r="39" spans="1:6" ht="12.75" hidden="1" outlineLevel="2">
      <c r="A39" s="34" t="s">
        <v>68</v>
      </c>
      <c r="B39" s="1"/>
      <c r="C39" s="10">
        <v>40505</v>
      </c>
      <c r="D39" t="s">
        <v>5</v>
      </c>
      <c r="E39" t="s">
        <v>66</v>
      </c>
      <c r="F39" s="26">
        <v>673</v>
      </c>
    </row>
    <row r="40" spans="1:6" ht="12.75" hidden="1" outlineLevel="2">
      <c r="A40" s="34" t="s">
        <v>68</v>
      </c>
      <c r="B40" s="1"/>
      <c r="C40" s="10">
        <v>40519</v>
      </c>
      <c r="D40" t="s">
        <v>5</v>
      </c>
      <c r="E40" t="s">
        <v>66</v>
      </c>
      <c r="F40" s="26">
        <v>32.5</v>
      </c>
    </row>
    <row r="41" spans="1:6" ht="12.75" hidden="1" outlineLevel="2">
      <c r="A41" s="34" t="s">
        <v>68</v>
      </c>
      <c r="B41" s="1">
        <v>1972</v>
      </c>
      <c r="C41" s="10">
        <v>40582</v>
      </c>
      <c r="D41" t="s">
        <v>60</v>
      </c>
      <c r="E41" t="s">
        <v>137</v>
      </c>
      <c r="F41" s="26">
        <v>-244.8</v>
      </c>
    </row>
    <row r="42" spans="1:6" ht="12.75" outlineLevel="1" collapsed="1">
      <c r="A42" s="34" t="s">
        <v>72</v>
      </c>
      <c r="B42" s="1"/>
      <c r="C42" s="10"/>
      <c r="F42" s="26">
        <f>SUBTOTAL(9,F35:F41)</f>
        <v>4540.5</v>
      </c>
    </row>
    <row r="43" spans="1:6" ht="12.75" hidden="1" outlineLevel="2">
      <c r="A43" s="34" t="s">
        <v>92</v>
      </c>
      <c r="B43" s="1">
        <v>1954</v>
      </c>
      <c r="C43" s="10">
        <v>40515</v>
      </c>
      <c r="D43" t="s">
        <v>90</v>
      </c>
      <c r="E43" t="s">
        <v>100</v>
      </c>
      <c r="F43" s="26">
        <v>-41.14</v>
      </c>
    </row>
    <row r="44" spans="1:6" ht="12.75" hidden="1" outlineLevel="2">
      <c r="A44" s="34" t="s">
        <v>92</v>
      </c>
      <c r="B44" s="1"/>
      <c r="C44" s="10">
        <v>40526</v>
      </c>
      <c r="D44" t="s">
        <v>117</v>
      </c>
      <c r="E44" t="s">
        <v>108</v>
      </c>
      <c r="F44" s="26">
        <v>1901</v>
      </c>
    </row>
    <row r="45" spans="1:6" ht="12.75" hidden="1" outlineLevel="2">
      <c r="A45" s="34" t="s">
        <v>92</v>
      </c>
      <c r="B45" s="1">
        <v>1968</v>
      </c>
      <c r="C45" s="10">
        <v>40561</v>
      </c>
      <c r="D45" t="s">
        <v>0</v>
      </c>
      <c r="E45" t="s">
        <v>129</v>
      </c>
      <c r="F45" s="26">
        <v>-20</v>
      </c>
    </row>
    <row r="46" spans="1:6" ht="12.75" hidden="1" outlineLevel="2">
      <c r="A46" s="34" t="s">
        <v>92</v>
      </c>
      <c r="B46" s="1">
        <v>1969</v>
      </c>
      <c r="C46" s="10">
        <v>40582</v>
      </c>
      <c r="D46" t="s">
        <v>0</v>
      </c>
      <c r="E46" t="s">
        <v>136</v>
      </c>
      <c r="F46" s="26">
        <v>-100</v>
      </c>
    </row>
    <row r="47" spans="1:6" ht="12.75" hidden="1" outlineLevel="2">
      <c r="A47" s="34" t="s">
        <v>92</v>
      </c>
      <c r="B47" s="1"/>
      <c r="C47" s="10">
        <v>40592</v>
      </c>
      <c r="D47" t="s">
        <v>5</v>
      </c>
      <c r="E47" t="s">
        <v>135</v>
      </c>
      <c r="F47" s="26">
        <v>478.2</v>
      </c>
    </row>
    <row r="48" spans="1:6" ht="12.75" hidden="1" outlineLevel="2">
      <c r="A48" s="34" t="s">
        <v>92</v>
      </c>
      <c r="B48" s="1">
        <v>1992</v>
      </c>
      <c r="C48" s="10">
        <v>40668</v>
      </c>
      <c r="D48" t="s">
        <v>169</v>
      </c>
      <c r="E48" t="s">
        <v>170</v>
      </c>
      <c r="F48" s="26">
        <v>-344.62</v>
      </c>
    </row>
    <row r="49" spans="1:6" ht="12.75" outlineLevel="1" collapsed="1">
      <c r="A49" s="34" t="s">
        <v>106</v>
      </c>
      <c r="B49" s="1"/>
      <c r="C49" s="10"/>
      <c r="F49" s="26">
        <f>SUBTOTAL(9,F43:F48)</f>
        <v>1873.44</v>
      </c>
    </row>
    <row r="50" spans="1:6" ht="12.75" hidden="1" outlineLevel="2">
      <c r="A50" s="34" t="s">
        <v>13</v>
      </c>
      <c r="B50" s="1"/>
      <c r="C50" s="10">
        <v>40359</v>
      </c>
      <c r="D50" s="5" t="s">
        <v>51</v>
      </c>
      <c r="E50" t="s">
        <v>50</v>
      </c>
      <c r="F50" s="26">
        <v>-12.5</v>
      </c>
    </row>
    <row r="51" spans="1:6" ht="12.75" hidden="1" outlineLevel="2">
      <c r="A51" s="34" t="s">
        <v>13</v>
      </c>
      <c r="B51" s="1"/>
      <c r="C51" s="10">
        <v>40389</v>
      </c>
      <c r="D51" s="5" t="s">
        <v>51</v>
      </c>
      <c r="E51" t="s">
        <v>50</v>
      </c>
      <c r="F51" s="26">
        <v>-12.5</v>
      </c>
    </row>
    <row r="52" spans="1:6" ht="12.75" hidden="1" outlineLevel="2">
      <c r="A52" s="34" t="s">
        <v>13</v>
      </c>
      <c r="B52" s="1">
        <v>1938</v>
      </c>
      <c r="C52" s="10">
        <v>40421</v>
      </c>
      <c r="D52" s="5"/>
      <c r="E52" t="s">
        <v>9</v>
      </c>
      <c r="F52" s="26">
        <v>0</v>
      </c>
    </row>
    <row r="53" spans="1:6" ht="12.75" hidden="1" outlineLevel="2">
      <c r="A53" s="34" t="s">
        <v>13</v>
      </c>
      <c r="B53" s="1"/>
      <c r="C53" s="10">
        <v>40421</v>
      </c>
      <c r="D53" s="5" t="s">
        <v>51</v>
      </c>
      <c r="E53" t="s">
        <v>50</v>
      </c>
      <c r="F53" s="26">
        <v>-12.5</v>
      </c>
    </row>
    <row r="54" spans="1:6" ht="12.75" hidden="1" outlineLevel="2">
      <c r="A54" s="34" t="s">
        <v>13</v>
      </c>
      <c r="B54" s="1">
        <v>1939</v>
      </c>
      <c r="C54" s="10">
        <v>40422</v>
      </c>
      <c r="D54" t="s">
        <v>0</v>
      </c>
      <c r="E54" t="s">
        <v>11</v>
      </c>
      <c r="F54" s="26">
        <v>-35</v>
      </c>
    </row>
    <row r="55" spans="1:6" ht="12.75" hidden="1" outlineLevel="2">
      <c r="A55" s="34" t="s">
        <v>13</v>
      </c>
      <c r="B55" s="1">
        <v>1940</v>
      </c>
      <c r="C55" s="10">
        <v>40431</v>
      </c>
      <c r="D55" t="s">
        <v>14</v>
      </c>
      <c r="E55" t="s">
        <v>15</v>
      </c>
      <c r="F55" s="26">
        <v>-250</v>
      </c>
    </row>
    <row r="56" spans="1:6" ht="12.75" hidden="1" outlineLevel="2">
      <c r="A56" s="34" t="s">
        <v>13</v>
      </c>
      <c r="B56" s="1"/>
      <c r="C56" s="10">
        <v>40451</v>
      </c>
      <c r="D56" t="s">
        <v>51</v>
      </c>
      <c r="E56" t="s">
        <v>50</v>
      </c>
      <c r="F56" s="26">
        <v>-12.5</v>
      </c>
    </row>
    <row r="57" spans="1:6" ht="12.75" hidden="1" outlineLevel="2">
      <c r="A57" s="34" t="s">
        <v>13</v>
      </c>
      <c r="B57" s="1">
        <v>1942</v>
      </c>
      <c r="C57" s="10">
        <v>40457</v>
      </c>
      <c r="D57" t="s">
        <v>47</v>
      </c>
      <c r="E57" t="s">
        <v>48</v>
      </c>
      <c r="F57" s="26">
        <v>-52.07</v>
      </c>
    </row>
    <row r="58" spans="1:6" ht="12.75" hidden="1" outlineLevel="2">
      <c r="A58" s="34" t="s">
        <v>13</v>
      </c>
      <c r="B58" s="1">
        <v>1944</v>
      </c>
      <c r="C58" s="10">
        <v>40463</v>
      </c>
      <c r="D58" t="s">
        <v>60</v>
      </c>
      <c r="E58" t="s">
        <v>61</v>
      </c>
      <c r="F58" s="26">
        <v>-22.5</v>
      </c>
    </row>
    <row r="59" spans="1:6" ht="12.75" hidden="1" outlineLevel="2">
      <c r="A59" s="34" t="s">
        <v>13</v>
      </c>
      <c r="B59" s="1"/>
      <c r="C59" s="10">
        <v>40481</v>
      </c>
      <c r="D59" t="s">
        <v>51</v>
      </c>
      <c r="E59" t="s">
        <v>50</v>
      </c>
      <c r="F59" s="26">
        <v>-12.5</v>
      </c>
    </row>
    <row r="60" spans="1:6" ht="12.75" hidden="1" outlineLevel="2">
      <c r="A60" s="34" t="s">
        <v>13</v>
      </c>
      <c r="B60" s="1">
        <v>1948</v>
      </c>
      <c r="C60" s="10">
        <v>40491</v>
      </c>
      <c r="D60" t="s">
        <v>83</v>
      </c>
      <c r="E60" t="s">
        <v>61</v>
      </c>
      <c r="F60" s="26">
        <v>-20</v>
      </c>
    </row>
    <row r="61" spans="1:6" ht="12.75" hidden="1" outlineLevel="2">
      <c r="A61" s="34" t="s">
        <v>13</v>
      </c>
      <c r="B61" s="1"/>
      <c r="C61" s="10">
        <v>40512</v>
      </c>
      <c r="D61" t="s">
        <v>51</v>
      </c>
      <c r="E61" t="s">
        <v>50</v>
      </c>
      <c r="F61" s="26">
        <v>-12.5</v>
      </c>
    </row>
    <row r="62" spans="1:6" ht="12.75" hidden="1" outlineLevel="2">
      <c r="A62" s="34" t="s">
        <v>13</v>
      </c>
      <c r="B62" s="1"/>
      <c r="C62" s="10">
        <v>40542</v>
      </c>
      <c r="D62" t="s">
        <v>51</v>
      </c>
      <c r="E62" t="s">
        <v>50</v>
      </c>
      <c r="F62" s="26">
        <v>-12.5</v>
      </c>
    </row>
    <row r="63" spans="1:6" ht="12.75" hidden="1" outlineLevel="2">
      <c r="A63" s="34" t="s">
        <v>13</v>
      </c>
      <c r="B63" s="1"/>
      <c r="C63" s="10">
        <v>40573</v>
      </c>
      <c r="D63" t="s">
        <v>50</v>
      </c>
      <c r="F63" s="26">
        <v>-12.5</v>
      </c>
    </row>
    <row r="64" spans="1:6" ht="12.75" hidden="1" outlineLevel="2">
      <c r="A64" s="34" t="s">
        <v>13</v>
      </c>
      <c r="B64" s="1">
        <v>1970</v>
      </c>
      <c r="C64" s="10">
        <v>40582</v>
      </c>
      <c r="D64" t="s">
        <v>9</v>
      </c>
      <c r="F64" s="26">
        <v>0</v>
      </c>
    </row>
    <row r="65" spans="1:6" ht="12.75" hidden="1" outlineLevel="2">
      <c r="A65" s="34" t="s">
        <v>13</v>
      </c>
      <c r="B65" s="1">
        <v>1971</v>
      </c>
      <c r="C65" s="10">
        <v>40582</v>
      </c>
      <c r="D65" t="s">
        <v>60</v>
      </c>
      <c r="E65" t="s">
        <v>61</v>
      </c>
      <c r="F65" s="26">
        <v>-25</v>
      </c>
    </row>
    <row r="66" spans="1:6" ht="12.75" hidden="1" outlineLevel="2">
      <c r="A66" s="34" t="s">
        <v>13</v>
      </c>
      <c r="B66" s="1">
        <v>1973</v>
      </c>
      <c r="C66" s="10">
        <v>40582</v>
      </c>
      <c r="D66" t="s">
        <v>138</v>
      </c>
      <c r="E66" t="s">
        <v>139</v>
      </c>
      <c r="F66" s="26">
        <v>-20</v>
      </c>
    </row>
    <row r="67" spans="1:6" ht="12.75" hidden="1" outlineLevel="2">
      <c r="A67" s="34" t="s">
        <v>13</v>
      </c>
      <c r="B67" s="1">
        <v>1975</v>
      </c>
      <c r="C67" s="10">
        <v>40588</v>
      </c>
      <c r="D67" t="s">
        <v>140</v>
      </c>
      <c r="E67" t="s">
        <v>141</v>
      </c>
      <c r="F67" s="26">
        <v>-138.13</v>
      </c>
    </row>
    <row r="68" spans="1:6" ht="12.75" hidden="1" outlineLevel="2">
      <c r="A68" s="34" t="s">
        <v>13</v>
      </c>
      <c r="B68" s="1"/>
      <c r="C68" s="10">
        <v>40602</v>
      </c>
      <c r="D68" t="s">
        <v>50</v>
      </c>
      <c r="F68" s="26">
        <v>-12.5</v>
      </c>
    </row>
    <row r="69" spans="1:6" ht="12.75" hidden="1" outlineLevel="2">
      <c r="A69" s="34" t="s">
        <v>13</v>
      </c>
      <c r="B69" s="1">
        <v>1983</v>
      </c>
      <c r="C69" s="10">
        <v>40610</v>
      </c>
      <c r="D69" t="s">
        <v>47</v>
      </c>
      <c r="E69" t="s">
        <v>157</v>
      </c>
      <c r="F69" s="26">
        <v>-49.96</v>
      </c>
    </row>
    <row r="70" spans="1:6" ht="12.75" hidden="1" outlineLevel="2">
      <c r="A70" s="34" t="s">
        <v>13</v>
      </c>
      <c r="B70" s="1">
        <v>1985</v>
      </c>
      <c r="C70" s="10">
        <v>40610</v>
      </c>
      <c r="D70" t="s">
        <v>89</v>
      </c>
      <c r="E70" t="s">
        <v>160</v>
      </c>
      <c r="F70" s="26">
        <v>-14.77</v>
      </c>
    </row>
    <row r="71" spans="1:6" ht="12.75" hidden="1" outlineLevel="2">
      <c r="A71" s="34" t="s">
        <v>13</v>
      </c>
      <c r="B71" s="1">
        <v>1986</v>
      </c>
      <c r="C71" s="10">
        <v>40610</v>
      </c>
      <c r="D71" t="s">
        <v>138</v>
      </c>
      <c r="E71" t="s">
        <v>161</v>
      </c>
      <c r="F71" s="26">
        <v>-20</v>
      </c>
    </row>
    <row r="72" spans="1:6" ht="12.75" hidden="1" outlineLevel="2">
      <c r="A72" s="34" t="s">
        <v>13</v>
      </c>
      <c r="B72" s="1">
        <v>1989</v>
      </c>
      <c r="C72" s="10">
        <v>40617</v>
      </c>
      <c r="D72" t="s">
        <v>145</v>
      </c>
      <c r="E72" t="s">
        <v>165</v>
      </c>
      <c r="F72" s="26">
        <v>-65.99</v>
      </c>
    </row>
    <row r="73" spans="1:6" ht="12.75" hidden="1" outlineLevel="2">
      <c r="A73" s="34" t="s">
        <v>13</v>
      </c>
      <c r="B73" s="1"/>
      <c r="C73" s="10">
        <v>40633</v>
      </c>
      <c r="D73" t="s">
        <v>50</v>
      </c>
      <c r="F73" s="26">
        <v>-12.5</v>
      </c>
    </row>
    <row r="74" spans="1:6" ht="12.75" hidden="1" outlineLevel="2">
      <c r="A74" s="34" t="s">
        <v>13</v>
      </c>
      <c r="B74" s="1"/>
      <c r="C74" s="10">
        <v>40663</v>
      </c>
      <c r="D74" t="s">
        <v>50</v>
      </c>
      <c r="F74" s="26">
        <v>-12.5</v>
      </c>
    </row>
    <row r="75" spans="1:6" ht="12.75" hidden="1" outlineLevel="2">
      <c r="A75" s="34" t="s">
        <v>13</v>
      </c>
      <c r="B75" s="1">
        <v>1993</v>
      </c>
      <c r="C75" s="10">
        <v>40668</v>
      </c>
      <c r="D75" t="s">
        <v>89</v>
      </c>
      <c r="E75" t="s">
        <v>176</v>
      </c>
      <c r="F75" s="26">
        <v>-17.15</v>
      </c>
    </row>
    <row r="76" spans="1:6" ht="12.75" hidden="1" outlineLevel="2">
      <c r="A76" s="34" t="s">
        <v>13</v>
      </c>
      <c r="B76" s="1">
        <v>1996</v>
      </c>
      <c r="C76" s="10">
        <v>40680</v>
      </c>
      <c r="E76" t="s">
        <v>139</v>
      </c>
      <c r="F76" s="26">
        <v>-20</v>
      </c>
    </row>
    <row r="77" spans="1:6" ht="12.75" hidden="1" outlineLevel="2">
      <c r="A77" s="34" t="s">
        <v>13</v>
      </c>
      <c r="B77" s="1">
        <v>1997</v>
      </c>
      <c r="C77" s="10">
        <v>40680</v>
      </c>
      <c r="E77" t="s">
        <v>61</v>
      </c>
      <c r="F77" s="26">
        <v>-17.15</v>
      </c>
    </row>
    <row r="78" spans="1:6" ht="12.75" hidden="1" outlineLevel="2">
      <c r="A78" s="34" t="s">
        <v>13</v>
      </c>
      <c r="B78" s="1">
        <v>1999</v>
      </c>
      <c r="C78" s="10">
        <v>40683</v>
      </c>
      <c r="D78" t="s">
        <v>145</v>
      </c>
      <c r="E78" t="s">
        <v>245</v>
      </c>
      <c r="F78" s="26">
        <v>-70</v>
      </c>
    </row>
    <row r="79" spans="1:6" ht="12.75" hidden="1" outlineLevel="2">
      <c r="A79" s="34" t="s">
        <v>13</v>
      </c>
      <c r="B79" s="1">
        <v>2000</v>
      </c>
      <c r="C79" s="10">
        <v>40689</v>
      </c>
      <c r="E79" t="s">
        <v>243</v>
      </c>
      <c r="F79" s="26">
        <v>-41.97</v>
      </c>
    </row>
    <row r="80" spans="1:6" ht="12.75" hidden="1" outlineLevel="2">
      <c r="A80" s="34" t="s">
        <v>13</v>
      </c>
      <c r="B80" s="1">
        <v>2005</v>
      </c>
      <c r="C80" s="10">
        <v>40689</v>
      </c>
      <c r="E80" t="s">
        <v>253</v>
      </c>
      <c r="F80" s="26">
        <v>-48.48</v>
      </c>
    </row>
    <row r="81" spans="1:6" ht="12.75" hidden="1" outlineLevel="2">
      <c r="A81" s="34" t="s">
        <v>13</v>
      </c>
      <c r="B81" s="1"/>
      <c r="C81" s="10"/>
      <c r="E81" t="s">
        <v>124</v>
      </c>
      <c r="F81" s="26">
        <v>-302.5</v>
      </c>
    </row>
    <row r="82" spans="1:6" ht="12.75" hidden="1" outlineLevel="2">
      <c r="A82" s="34" t="s">
        <v>13</v>
      </c>
      <c r="B82" s="1">
        <v>1974</v>
      </c>
      <c r="C82" s="1"/>
      <c r="F82" s="26">
        <v>-58.75</v>
      </c>
    </row>
    <row r="83" spans="1:6" ht="12.75" hidden="1" outlineLevel="2">
      <c r="A83" s="34" t="s">
        <v>13</v>
      </c>
      <c r="B83" s="1">
        <v>1976</v>
      </c>
      <c r="C83" s="1"/>
      <c r="D83" t="s">
        <v>147</v>
      </c>
      <c r="F83" s="26">
        <v>0</v>
      </c>
    </row>
    <row r="84" spans="1:6" ht="12.75" outlineLevel="1" collapsed="1">
      <c r="A84" s="34" t="s">
        <v>73</v>
      </c>
      <c r="B84" s="1"/>
      <c r="C84" s="1"/>
      <c r="F84" s="26">
        <f>SUBTOTAL(9,F50:F83)</f>
        <v>-1426.9199999999998</v>
      </c>
    </row>
    <row r="85" spans="1:6" ht="12.75" hidden="1" outlineLevel="2">
      <c r="A85" s="34" t="s">
        <v>28</v>
      </c>
      <c r="B85" s="1">
        <v>1943</v>
      </c>
      <c r="C85" s="10">
        <v>40463</v>
      </c>
      <c r="D85" t="s">
        <v>49</v>
      </c>
      <c r="E85" t="s">
        <v>55</v>
      </c>
      <c r="F85" s="26">
        <v>-165.42</v>
      </c>
    </row>
    <row r="86" spans="1:6" ht="12.75" hidden="1" outlineLevel="2">
      <c r="A86" s="34" t="s">
        <v>28</v>
      </c>
      <c r="B86" s="1"/>
      <c r="C86" s="10">
        <v>40465</v>
      </c>
      <c r="D86" t="s">
        <v>5</v>
      </c>
      <c r="E86" t="s">
        <v>59</v>
      </c>
      <c r="F86" s="26">
        <v>58</v>
      </c>
    </row>
    <row r="87" spans="1:6" ht="12.75" hidden="1" outlineLevel="2">
      <c r="A87" s="34" t="s">
        <v>28</v>
      </c>
      <c r="B87" s="1">
        <v>1945</v>
      </c>
      <c r="C87" s="10">
        <v>40470</v>
      </c>
      <c r="E87" t="s">
        <v>62</v>
      </c>
      <c r="F87" s="26">
        <v>-1176</v>
      </c>
    </row>
    <row r="88" spans="1:6" ht="12.75" hidden="1" outlineLevel="2">
      <c r="A88" s="34" t="s">
        <v>28</v>
      </c>
      <c r="B88" s="1"/>
      <c r="C88" s="10">
        <v>40470</v>
      </c>
      <c r="D88" t="s">
        <v>5</v>
      </c>
      <c r="E88" t="s">
        <v>62</v>
      </c>
      <c r="F88" s="26">
        <v>180</v>
      </c>
    </row>
    <row r="89" spans="1:6" ht="12.75" hidden="1" outlineLevel="2">
      <c r="A89" s="34" t="s">
        <v>28</v>
      </c>
      <c r="B89" s="1"/>
      <c r="C89" s="10">
        <v>40484</v>
      </c>
      <c r="D89" t="s">
        <v>5</v>
      </c>
      <c r="E89" t="s">
        <v>59</v>
      </c>
      <c r="F89" s="26">
        <v>61</v>
      </c>
    </row>
    <row r="90" spans="1:6" ht="12.75" hidden="1" outlineLevel="2">
      <c r="A90" s="34" t="s">
        <v>28</v>
      </c>
      <c r="B90" s="1"/>
      <c r="C90" s="10">
        <v>40499</v>
      </c>
      <c r="D90" t="s">
        <v>5</v>
      </c>
      <c r="E90" t="s">
        <v>62</v>
      </c>
      <c r="F90" s="26">
        <v>74</v>
      </c>
    </row>
    <row r="91" spans="1:6" ht="12.75" hidden="1" outlineLevel="2">
      <c r="A91" s="34" t="s">
        <v>28</v>
      </c>
      <c r="B91" s="1"/>
      <c r="C91" s="10">
        <v>40526</v>
      </c>
      <c r="D91" t="s">
        <v>5</v>
      </c>
      <c r="E91" t="s">
        <v>62</v>
      </c>
      <c r="F91" s="26">
        <v>36</v>
      </c>
    </row>
    <row r="92" spans="1:6" ht="12.75" hidden="1" outlineLevel="2">
      <c r="A92" s="34" t="s">
        <v>28</v>
      </c>
      <c r="B92" s="1"/>
      <c r="C92" s="10">
        <v>40592</v>
      </c>
      <c r="D92" t="s">
        <v>5</v>
      </c>
      <c r="E92" t="s">
        <v>62</v>
      </c>
      <c r="F92" s="26">
        <v>48</v>
      </c>
    </row>
    <row r="93" spans="1:6" ht="12.75" hidden="1" outlineLevel="2">
      <c r="A93" s="34" t="s">
        <v>28</v>
      </c>
      <c r="B93" s="1"/>
      <c r="C93" s="10">
        <v>40634</v>
      </c>
      <c r="D93" t="s">
        <v>5</v>
      </c>
      <c r="E93" t="s">
        <v>62</v>
      </c>
      <c r="F93" s="26">
        <v>60</v>
      </c>
    </row>
    <row r="94" spans="1:6" ht="12.75" hidden="1" outlineLevel="2">
      <c r="A94" s="34" t="s">
        <v>28</v>
      </c>
      <c r="B94" s="1"/>
      <c r="C94" s="10"/>
      <c r="D94" t="s">
        <v>117</v>
      </c>
      <c r="E94" t="s">
        <v>62</v>
      </c>
      <c r="F94" s="26">
        <v>36</v>
      </c>
    </row>
    <row r="95" spans="1:6" ht="12.75" outlineLevel="1" collapsed="1">
      <c r="A95" s="34" t="s">
        <v>74</v>
      </c>
      <c r="B95" s="1"/>
      <c r="C95" s="10"/>
      <c r="F95" s="26">
        <f>SUBTOTAL(9,F85:F94)</f>
        <v>-788.4200000000001</v>
      </c>
    </row>
    <row r="96" spans="1:6" ht="12.75" hidden="1" outlineLevel="2">
      <c r="A96" s="34" t="s">
        <v>261</v>
      </c>
      <c r="B96" s="1"/>
      <c r="C96" s="10">
        <v>40499</v>
      </c>
      <c r="D96" t="s">
        <v>5</v>
      </c>
      <c r="E96" t="s">
        <v>172</v>
      </c>
      <c r="F96" s="26">
        <v>141.08</v>
      </c>
    </row>
    <row r="97" spans="1:6" ht="12.75" hidden="1" outlineLevel="2">
      <c r="A97" s="34" t="s">
        <v>260</v>
      </c>
      <c r="B97" s="1">
        <v>1946</v>
      </c>
      <c r="C97" s="10">
        <v>40468</v>
      </c>
      <c r="D97" t="s">
        <v>63</v>
      </c>
      <c r="E97" t="s">
        <v>64</v>
      </c>
      <c r="F97" s="26">
        <v>-350</v>
      </c>
    </row>
    <row r="98" spans="1:6" ht="12.75" hidden="1" outlineLevel="2">
      <c r="A98" s="34" t="s">
        <v>260</v>
      </c>
      <c r="B98" s="1">
        <v>1967</v>
      </c>
      <c r="C98" s="1"/>
      <c r="D98" t="s">
        <v>120</v>
      </c>
      <c r="E98" t="s">
        <v>121</v>
      </c>
      <c r="F98" s="26">
        <v>-506.25</v>
      </c>
    </row>
    <row r="99" spans="1:6" ht="12.75" hidden="1" outlineLevel="2">
      <c r="A99" s="34" t="s">
        <v>260</v>
      </c>
      <c r="B99" s="1">
        <v>1990</v>
      </c>
      <c r="C99" s="10">
        <v>40652</v>
      </c>
      <c r="D99" t="s">
        <v>167</v>
      </c>
      <c r="E99" t="s">
        <v>166</v>
      </c>
      <c r="F99" s="26">
        <v>-2</v>
      </c>
    </row>
    <row r="100" spans="1:6" ht="12.75" hidden="1" outlineLevel="2">
      <c r="A100" s="34" t="s">
        <v>260</v>
      </c>
      <c r="B100" s="1">
        <v>1991</v>
      </c>
      <c r="C100" s="10">
        <v>40658</v>
      </c>
      <c r="D100" t="s">
        <v>89</v>
      </c>
      <c r="E100" t="s">
        <v>168</v>
      </c>
      <c r="F100" s="26">
        <v>-204</v>
      </c>
    </row>
    <row r="101" spans="1:6" ht="12.75" hidden="1" outlineLevel="2">
      <c r="A101" s="34" t="s">
        <v>260</v>
      </c>
      <c r="B101" s="1"/>
      <c r="C101" s="10">
        <v>40668</v>
      </c>
      <c r="D101" t="s">
        <v>5</v>
      </c>
      <c r="E101" t="s">
        <v>175</v>
      </c>
      <c r="F101" s="26">
        <v>116</v>
      </c>
    </row>
    <row r="102" spans="1:6" ht="12.75" hidden="1" outlineLevel="2">
      <c r="A102" s="34" t="s">
        <v>260</v>
      </c>
      <c r="B102" s="1"/>
      <c r="C102" s="10">
        <v>40668</v>
      </c>
      <c r="D102" t="s">
        <v>5</v>
      </c>
      <c r="E102" t="s">
        <v>177</v>
      </c>
      <c r="F102" s="26">
        <v>220.92</v>
      </c>
    </row>
    <row r="103" spans="1:6" ht="12.75" hidden="1" outlineLevel="2">
      <c r="A103" s="34" t="s">
        <v>260</v>
      </c>
      <c r="B103" s="1">
        <v>1994</v>
      </c>
      <c r="C103" s="10">
        <v>40680</v>
      </c>
      <c r="D103" t="s">
        <v>235</v>
      </c>
      <c r="E103" t="s">
        <v>244</v>
      </c>
      <c r="F103" s="26">
        <v>0</v>
      </c>
    </row>
    <row r="104" spans="1:6" ht="12.75" hidden="1" outlineLevel="2">
      <c r="A104" s="34" t="s">
        <v>260</v>
      </c>
      <c r="B104" s="1">
        <v>1995</v>
      </c>
      <c r="C104" s="10">
        <v>40680</v>
      </c>
      <c r="D104" t="s">
        <v>235</v>
      </c>
      <c r="E104" t="s">
        <v>236</v>
      </c>
      <c r="F104" s="26">
        <v>-450</v>
      </c>
    </row>
    <row r="105" spans="1:6" ht="12.75" hidden="1" outlineLevel="2">
      <c r="A105" s="34" t="s">
        <v>260</v>
      </c>
      <c r="B105" s="1"/>
      <c r="C105" s="10">
        <v>40686</v>
      </c>
      <c r="D105" t="s">
        <v>5</v>
      </c>
      <c r="E105" t="s">
        <v>242</v>
      </c>
      <c r="F105" s="26">
        <v>200</v>
      </c>
    </row>
    <row r="106" spans="1:6" ht="12.75" hidden="1" outlineLevel="2">
      <c r="A106" s="34" t="s">
        <v>260</v>
      </c>
      <c r="B106" s="1">
        <v>2006</v>
      </c>
      <c r="C106" s="10">
        <v>40690</v>
      </c>
      <c r="D106" t="s">
        <v>251</v>
      </c>
      <c r="E106" t="s">
        <v>252</v>
      </c>
      <c r="F106" s="26">
        <v>-225</v>
      </c>
    </row>
    <row r="107" spans="1:6" ht="12.75" outlineLevel="1" collapsed="1">
      <c r="A107" s="34" t="s">
        <v>262</v>
      </c>
      <c r="B107" s="1"/>
      <c r="C107" s="10"/>
      <c r="F107" s="26">
        <f>SUBTOTAL(9,F96:F106)</f>
        <v>-1059.25</v>
      </c>
    </row>
    <row r="108" spans="1:6" ht="12.75" hidden="1" outlineLevel="2">
      <c r="A108" s="34" t="s">
        <v>239</v>
      </c>
      <c r="B108" s="1">
        <v>2004</v>
      </c>
      <c r="C108" s="10">
        <v>40689</v>
      </c>
      <c r="D108" t="s">
        <v>254</v>
      </c>
      <c r="E108" t="s">
        <v>239</v>
      </c>
      <c r="F108" s="26">
        <v>-1644.45</v>
      </c>
    </row>
    <row r="109" spans="1:6" ht="12.75" hidden="1" outlineLevel="2">
      <c r="A109" s="34" t="s">
        <v>239</v>
      </c>
      <c r="B109" s="1"/>
      <c r="C109" s="10">
        <v>40698</v>
      </c>
      <c r="D109" t="s">
        <v>5</v>
      </c>
      <c r="E109" t="s">
        <v>255</v>
      </c>
      <c r="F109" s="26">
        <v>1761</v>
      </c>
    </row>
    <row r="110" spans="1:6" ht="12.75" outlineLevel="1" collapsed="1">
      <c r="A110" s="34" t="s">
        <v>263</v>
      </c>
      <c r="B110" s="1"/>
      <c r="C110" s="10"/>
      <c r="F110" s="26">
        <f>SUBTOTAL(9,F108:F109)</f>
        <v>116.54999999999995</v>
      </c>
    </row>
    <row r="111" spans="1:6" ht="12.75" hidden="1" outlineLevel="2">
      <c r="A111" s="34" t="s">
        <v>35</v>
      </c>
      <c r="B111" s="1">
        <v>1962</v>
      </c>
      <c r="C111" s="10">
        <v>40525</v>
      </c>
      <c r="D111" t="s">
        <v>110</v>
      </c>
      <c r="E111" t="s">
        <v>111</v>
      </c>
      <c r="F111" s="26">
        <v>-497</v>
      </c>
    </row>
    <row r="112" spans="1:6" ht="12.75" hidden="1" outlineLevel="2">
      <c r="A112" s="34" t="s">
        <v>35</v>
      </c>
      <c r="B112" s="1"/>
      <c r="C112" s="10">
        <v>40534</v>
      </c>
      <c r="D112" t="s">
        <v>5</v>
      </c>
      <c r="F112" s="26">
        <v>200</v>
      </c>
    </row>
    <row r="113" spans="1:6" ht="12.75" hidden="1" outlineLevel="2">
      <c r="A113" s="34" t="s">
        <v>35</v>
      </c>
      <c r="B113" s="1"/>
      <c r="C113" s="10">
        <v>40686</v>
      </c>
      <c r="D113" t="s">
        <v>246</v>
      </c>
      <c r="E113" t="s">
        <v>241</v>
      </c>
      <c r="F113" s="26">
        <v>-3775</v>
      </c>
    </row>
    <row r="114" spans="1:6" ht="12.75" hidden="1" outlineLevel="2">
      <c r="A114" s="34" t="s">
        <v>35</v>
      </c>
      <c r="B114" s="1">
        <v>2001</v>
      </c>
      <c r="C114" s="10">
        <v>40689</v>
      </c>
      <c r="D114" t="s">
        <v>247</v>
      </c>
      <c r="E114" t="s">
        <v>240</v>
      </c>
      <c r="F114" s="26">
        <v>-180</v>
      </c>
    </row>
    <row r="115" spans="1:6" ht="12.75" outlineLevel="1" collapsed="1">
      <c r="A115" s="34" t="s">
        <v>132</v>
      </c>
      <c r="B115" s="1"/>
      <c r="C115" s="10"/>
      <c r="F115" s="26">
        <f>SUBTOTAL(9,F111:F114)</f>
        <v>-4252</v>
      </c>
    </row>
    <row r="116" spans="1:6" ht="12.75" hidden="1" outlineLevel="2">
      <c r="A116" s="34" t="s">
        <v>24</v>
      </c>
      <c r="B116" s="1"/>
      <c r="C116" s="10">
        <v>40484</v>
      </c>
      <c r="D116" t="s">
        <v>5</v>
      </c>
      <c r="E116" t="s">
        <v>70</v>
      </c>
      <c r="F116" s="26">
        <v>630</v>
      </c>
    </row>
    <row r="117" spans="1:6" ht="12.75" hidden="1" outlineLevel="2">
      <c r="A117" s="34" t="s">
        <v>24</v>
      </c>
      <c r="B117" s="1"/>
      <c r="C117" s="10">
        <v>40499</v>
      </c>
      <c r="D117" t="s">
        <v>5</v>
      </c>
      <c r="E117" t="s">
        <v>70</v>
      </c>
      <c r="F117" s="26">
        <v>2060</v>
      </c>
    </row>
    <row r="118" spans="1:6" ht="12.75" hidden="1" outlineLevel="2">
      <c r="A118" s="34" t="s">
        <v>24</v>
      </c>
      <c r="B118" s="1">
        <v>1949</v>
      </c>
      <c r="C118" s="10">
        <v>40499</v>
      </c>
      <c r="D118" t="s">
        <v>80</v>
      </c>
      <c r="E118" t="s">
        <v>81</v>
      </c>
      <c r="F118" s="26">
        <v>-670</v>
      </c>
    </row>
    <row r="119" spans="1:6" ht="12.75" hidden="1" outlineLevel="2">
      <c r="A119" s="34" t="s">
        <v>24</v>
      </c>
      <c r="B119" s="1">
        <v>1950</v>
      </c>
      <c r="C119" s="10">
        <v>40512</v>
      </c>
      <c r="D119" t="s">
        <v>80</v>
      </c>
      <c r="E119" t="s">
        <v>82</v>
      </c>
      <c r="F119" s="26">
        <v>-256</v>
      </c>
    </row>
    <row r="120" spans="1:6" ht="12.75" hidden="1" outlineLevel="2">
      <c r="A120" s="34" t="s">
        <v>24</v>
      </c>
      <c r="B120" s="1">
        <v>1953</v>
      </c>
      <c r="C120" s="10">
        <v>40515</v>
      </c>
      <c r="D120" t="s">
        <v>89</v>
      </c>
      <c r="E120" t="s">
        <v>99</v>
      </c>
      <c r="F120" s="26">
        <v>-35.99</v>
      </c>
    </row>
    <row r="121" spans="1:6" ht="12.75" hidden="1" outlineLevel="2">
      <c r="A121" s="34" t="s">
        <v>24</v>
      </c>
      <c r="B121" s="1">
        <v>1955</v>
      </c>
      <c r="C121" s="10">
        <v>40515</v>
      </c>
      <c r="D121" t="s">
        <v>91</v>
      </c>
      <c r="E121" t="s">
        <v>99</v>
      </c>
      <c r="F121" s="26">
        <v>-96.84</v>
      </c>
    </row>
    <row r="122" spans="1:6" ht="12.75" hidden="1" outlineLevel="2">
      <c r="A122" s="34" t="s">
        <v>24</v>
      </c>
      <c r="B122" s="1">
        <v>1956</v>
      </c>
      <c r="C122" s="10">
        <v>40516</v>
      </c>
      <c r="D122" t="s">
        <v>93</v>
      </c>
      <c r="E122" t="s">
        <v>94</v>
      </c>
      <c r="F122" s="26">
        <v>-390</v>
      </c>
    </row>
    <row r="123" spans="1:6" ht="12.75" hidden="1" outlineLevel="2">
      <c r="A123" s="34" t="s">
        <v>24</v>
      </c>
      <c r="B123" s="1">
        <v>1957</v>
      </c>
      <c r="C123" s="10">
        <v>40516</v>
      </c>
      <c r="D123" t="s">
        <v>95</v>
      </c>
      <c r="E123" t="s">
        <v>96</v>
      </c>
      <c r="F123" s="26">
        <v>-500</v>
      </c>
    </row>
    <row r="124" spans="1:6" ht="12.75" hidden="1" outlineLevel="2">
      <c r="A124" s="34" t="s">
        <v>24</v>
      </c>
      <c r="B124" s="1">
        <v>1958</v>
      </c>
      <c r="C124" s="10">
        <v>40516</v>
      </c>
      <c r="D124" t="s">
        <v>97</v>
      </c>
      <c r="E124" t="s">
        <v>98</v>
      </c>
      <c r="F124" s="26">
        <v>-2801</v>
      </c>
    </row>
    <row r="125" spans="1:6" ht="12.75" hidden="1" outlineLevel="2">
      <c r="A125" s="34" t="s">
        <v>24</v>
      </c>
      <c r="B125" s="1"/>
      <c r="C125" s="10">
        <v>40519</v>
      </c>
      <c r="D125" t="s">
        <v>5</v>
      </c>
      <c r="E125" t="s">
        <v>103</v>
      </c>
      <c r="F125" s="26">
        <v>14867.5</v>
      </c>
    </row>
    <row r="126" spans="1:6" ht="12.75" hidden="1" outlineLevel="2">
      <c r="A126" s="34" t="s">
        <v>24</v>
      </c>
      <c r="B126" s="1">
        <v>1959</v>
      </c>
      <c r="C126" s="10">
        <v>40520</v>
      </c>
      <c r="D126" t="s">
        <v>91</v>
      </c>
      <c r="E126" t="s">
        <v>99</v>
      </c>
      <c r="F126" s="26">
        <v>-197.95</v>
      </c>
    </row>
    <row r="127" spans="1:6" ht="12.75" hidden="1" outlineLevel="2">
      <c r="A127" s="34" t="s">
        <v>24</v>
      </c>
      <c r="B127" s="1">
        <v>1960</v>
      </c>
      <c r="C127" s="10">
        <v>40520</v>
      </c>
      <c r="D127" t="s">
        <v>101</v>
      </c>
      <c r="E127" t="s">
        <v>102</v>
      </c>
      <c r="F127" s="26">
        <v>-99.875</v>
      </c>
    </row>
    <row r="128" spans="1:6" ht="12.75" hidden="1" outlineLevel="2">
      <c r="A128" s="34" t="s">
        <v>24</v>
      </c>
      <c r="B128" s="1">
        <v>1961</v>
      </c>
      <c r="C128" s="10">
        <v>40520</v>
      </c>
      <c r="D128" t="s">
        <v>115</v>
      </c>
      <c r="E128" t="s">
        <v>109</v>
      </c>
      <c r="F128" s="26">
        <v>-7.5</v>
      </c>
    </row>
    <row r="129" spans="1:6" ht="12.75" hidden="1" outlineLevel="2">
      <c r="A129" s="34" t="s">
        <v>24</v>
      </c>
      <c r="B129" s="1"/>
      <c r="C129" s="10">
        <v>40526</v>
      </c>
      <c r="D129" t="s">
        <v>5</v>
      </c>
      <c r="E129" t="s">
        <v>70</v>
      </c>
      <c r="F129" s="26">
        <v>225</v>
      </c>
    </row>
    <row r="130" spans="1:6" ht="12.75" hidden="1" outlineLevel="2">
      <c r="A130" s="34" t="s">
        <v>24</v>
      </c>
      <c r="B130" s="1">
        <v>1963</v>
      </c>
      <c r="C130" s="10">
        <v>40529</v>
      </c>
      <c r="D130" t="s">
        <v>112</v>
      </c>
      <c r="E130" t="s">
        <v>99</v>
      </c>
      <c r="F130" s="26">
        <v>-27</v>
      </c>
    </row>
    <row r="131" spans="1:6" ht="12.75" hidden="1" outlineLevel="2">
      <c r="A131" s="34" t="s">
        <v>24</v>
      </c>
      <c r="B131" s="1">
        <v>1964</v>
      </c>
      <c r="C131" s="10">
        <v>40529</v>
      </c>
      <c r="D131" t="s">
        <v>113</v>
      </c>
      <c r="E131" t="s">
        <v>99</v>
      </c>
      <c r="F131" s="26">
        <v>-21.64</v>
      </c>
    </row>
    <row r="132" spans="1:6" ht="12.75" hidden="1" outlineLevel="2">
      <c r="A132" s="34" t="s">
        <v>24</v>
      </c>
      <c r="B132" s="1">
        <v>1965</v>
      </c>
      <c r="C132" s="10">
        <v>40529</v>
      </c>
      <c r="D132" t="s">
        <v>80</v>
      </c>
      <c r="E132" t="s">
        <v>99</v>
      </c>
      <c r="F132" s="26">
        <v>-117.99</v>
      </c>
    </row>
    <row r="133" spans="1:6" ht="12.75" hidden="1" outlineLevel="2">
      <c r="A133" s="34" t="s">
        <v>24</v>
      </c>
      <c r="B133" s="1">
        <v>1966</v>
      </c>
      <c r="C133" s="10">
        <v>40529</v>
      </c>
      <c r="D133" t="s">
        <v>116</v>
      </c>
      <c r="E133" t="s">
        <v>114</v>
      </c>
      <c r="F133" s="26">
        <v>-230</v>
      </c>
    </row>
    <row r="134" spans="1:6" ht="12.75" hidden="1" outlineLevel="2">
      <c r="A134" s="34" t="s">
        <v>24</v>
      </c>
      <c r="B134" s="1"/>
      <c r="C134" s="10">
        <v>40534</v>
      </c>
      <c r="D134" t="s">
        <v>5</v>
      </c>
      <c r="F134" s="26">
        <v>7</v>
      </c>
    </row>
    <row r="135" spans="1:6" ht="12.75" hidden="1" outlineLevel="2">
      <c r="A135" s="34" t="s">
        <v>24</v>
      </c>
      <c r="B135" s="1">
        <v>2002</v>
      </c>
      <c r="C135" s="10">
        <v>40689</v>
      </c>
      <c r="D135" t="s">
        <v>248</v>
      </c>
      <c r="E135" t="s">
        <v>249</v>
      </c>
      <c r="F135" s="26">
        <v>-65.28</v>
      </c>
    </row>
    <row r="136" spans="1:6" ht="12.75" hidden="1" outlineLevel="2">
      <c r="A136" s="34" t="s">
        <v>24</v>
      </c>
      <c r="B136" s="1">
        <v>2003</v>
      </c>
      <c r="C136" s="10">
        <v>40689</v>
      </c>
      <c r="D136" t="s">
        <v>169</v>
      </c>
      <c r="E136" t="s">
        <v>250</v>
      </c>
      <c r="F136" s="26">
        <v>-1097.82</v>
      </c>
    </row>
    <row r="137" spans="1:6" ht="12.75" hidden="1" outlineLevel="2">
      <c r="A137" s="34" t="s">
        <v>24</v>
      </c>
      <c r="B137" s="1"/>
      <c r="C137" s="10"/>
      <c r="D137" t="s">
        <v>117</v>
      </c>
      <c r="E137" t="s">
        <v>118</v>
      </c>
      <c r="F137" s="26">
        <v>40</v>
      </c>
    </row>
    <row r="138" spans="1:6" ht="12.75" outlineLevel="1" collapsed="1">
      <c r="A138" s="34" t="s">
        <v>76</v>
      </c>
      <c r="B138" s="1"/>
      <c r="C138" s="10"/>
      <c r="F138" s="26">
        <f>SUBTOTAL(9,F116:F137)</f>
        <v>11214.615</v>
      </c>
    </row>
    <row r="139" spans="1:6" ht="12.75" hidden="1" outlineLevel="2">
      <c r="A139" s="34" t="s">
        <v>259</v>
      </c>
      <c r="B139" s="1">
        <v>1941</v>
      </c>
      <c r="C139" s="10">
        <v>40449</v>
      </c>
      <c r="D139" t="s">
        <v>45</v>
      </c>
      <c r="E139" t="s">
        <v>46</v>
      </c>
      <c r="F139" s="26">
        <v>-200</v>
      </c>
    </row>
    <row r="140" spans="1:6" ht="12.75" hidden="1" outlineLevel="2">
      <c r="A140" s="34" t="s">
        <v>259</v>
      </c>
      <c r="B140" s="1"/>
      <c r="C140" s="10">
        <v>40465</v>
      </c>
      <c r="D140" t="s">
        <v>5</v>
      </c>
      <c r="E140" t="s">
        <v>57</v>
      </c>
      <c r="F140" s="26">
        <v>730</v>
      </c>
    </row>
    <row r="141" spans="1:6" ht="12.75" hidden="1" outlineLevel="2">
      <c r="A141" s="34" t="s">
        <v>259</v>
      </c>
      <c r="B141" s="1"/>
      <c r="C141" s="10">
        <v>40484</v>
      </c>
      <c r="D141" t="s">
        <v>5</v>
      </c>
      <c r="E141" t="s">
        <v>57</v>
      </c>
      <c r="F141" s="26">
        <v>225</v>
      </c>
    </row>
    <row r="142" spans="1:6" ht="12.75" hidden="1" outlineLevel="2">
      <c r="A142" s="34" t="s">
        <v>259</v>
      </c>
      <c r="B142" s="1"/>
      <c r="C142" s="10">
        <v>40499</v>
      </c>
      <c r="D142" t="s">
        <v>5</v>
      </c>
      <c r="E142" t="s">
        <v>57</v>
      </c>
      <c r="F142" s="26">
        <v>45</v>
      </c>
    </row>
    <row r="143" spans="1:6" ht="12.75" hidden="1" outlineLevel="2">
      <c r="A143" s="34" t="s">
        <v>259</v>
      </c>
      <c r="B143" s="1">
        <v>1952</v>
      </c>
      <c r="C143" s="10">
        <v>40514</v>
      </c>
      <c r="D143" t="s">
        <v>87</v>
      </c>
      <c r="E143" t="s">
        <v>88</v>
      </c>
      <c r="F143" s="26">
        <v>-912.45</v>
      </c>
    </row>
    <row r="144" spans="1:6" ht="12.75" outlineLevel="1" collapsed="1">
      <c r="A144" s="34" t="s">
        <v>181</v>
      </c>
      <c r="B144" s="1"/>
      <c r="C144" s="10"/>
      <c r="F144" s="26">
        <f>SUBTOTAL(9,F139:F143)</f>
        <v>-112.45000000000005</v>
      </c>
    </row>
    <row r="145" spans="1:6" ht="12.75" hidden="1" outlineLevel="2">
      <c r="A145" s="34" t="s">
        <v>84</v>
      </c>
      <c r="B145" s="1">
        <v>1951</v>
      </c>
      <c r="C145" s="10">
        <v>40513</v>
      </c>
      <c r="D145" t="s">
        <v>85</v>
      </c>
      <c r="E145" t="s">
        <v>86</v>
      </c>
      <c r="F145" s="26">
        <v>-1822.8</v>
      </c>
    </row>
    <row r="146" spans="1:6" ht="12.75" hidden="1" outlineLevel="2">
      <c r="A146" s="34" t="s">
        <v>84</v>
      </c>
      <c r="B146" s="1">
        <v>1978</v>
      </c>
      <c r="C146" s="10">
        <v>40598</v>
      </c>
      <c r="D146" t="s">
        <v>85</v>
      </c>
      <c r="E146" t="s">
        <v>144</v>
      </c>
      <c r="F146" s="26">
        <v>-1822.8</v>
      </c>
    </row>
    <row r="147" spans="1:6" ht="12.75" hidden="1" outlineLevel="2">
      <c r="A147" s="34" t="s">
        <v>84</v>
      </c>
      <c r="B147" s="1"/>
      <c r="C147" s="10">
        <v>40668</v>
      </c>
      <c r="D147" t="s">
        <v>5</v>
      </c>
      <c r="E147" t="s">
        <v>174</v>
      </c>
      <c r="F147" s="26">
        <v>185</v>
      </c>
    </row>
    <row r="148" spans="1:6" ht="12.75" hidden="1" outlineLevel="2">
      <c r="A148" s="34" t="s">
        <v>84</v>
      </c>
      <c r="B148" s="1"/>
      <c r="C148" s="10">
        <v>40686</v>
      </c>
      <c r="D148" t="s">
        <v>5</v>
      </c>
      <c r="E148" t="s">
        <v>44</v>
      </c>
      <c r="F148" s="26">
        <v>6440</v>
      </c>
    </row>
    <row r="149" spans="1:6" ht="12.75" hidden="1" outlineLevel="2">
      <c r="A149" s="34" t="s">
        <v>84</v>
      </c>
      <c r="B149" s="1"/>
      <c r="C149" s="10">
        <v>40698</v>
      </c>
      <c r="D149" t="s">
        <v>5</v>
      </c>
      <c r="E149" t="s">
        <v>255</v>
      </c>
      <c r="F149" s="26">
        <v>1480</v>
      </c>
    </row>
    <row r="150" spans="1:6" ht="12.75" outlineLevel="1" collapsed="1">
      <c r="A150" s="34" t="s">
        <v>107</v>
      </c>
      <c r="B150" s="1"/>
      <c r="C150" s="10"/>
      <c r="F150" s="26">
        <f>SUBTOTAL(9,F145:F149)</f>
        <v>4459.4</v>
      </c>
    </row>
    <row r="151" spans="1:6" ht="12.75">
      <c r="A151" s="35" t="s">
        <v>78</v>
      </c>
      <c r="B151" s="1"/>
      <c r="C151" s="10"/>
      <c r="F151" s="3">
        <f>SUBTOTAL(9,F9:F149)</f>
        <v>33254.634999999995</v>
      </c>
    </row>
    <row r="152" ht="12.75">
      <c r="F152" s="33"/>
    </row>
    <row r="153" ht="12.75">
      <c r="F153" s="33"/>
    </row>
    <row r="154" spans="1:7" ht="12.75">
      <c r="A154" s="51"/>
      <c r="B154" s="51"/>
      <c r="C154" s="51"/>
      <c r="D154" s="51"/>
      <c r="E154" s="51"/>
      <c r="F154" s="67"/>
      <c r="G154" s="51"/>
    </row>
    <row r="155" ht="12.75">
      <c r="F155" s="33"/>
    </row>
    <row r="156" spans="1:6" ht="13.5" thickBot="1">
      <c r="A156" s="65" t="s">
        <v>265</v>
      </c>
      <c r="B156" s="60"/>
      <c r="C156" s="60"/>
      <c r="D156" s="60"/>
      <c r="E156" s="60"/>
      <c r="F156" s="66">
        <f>+F151-F10</f>
        <v>25742.424999999996</v>
      </c>
    </row>
    <row r="157" spans="1:6" ht="13.5" thickTop="1">
      <c r="A157" s="60" t="s">
        <v>266</v>
      </c>
      <c r="B157" s="60"/>
      <c r="C157" s="60"/>
      <c r="D157" s="60"/>
      <c r="E157" s="60"/>
      <c r="F157" s="61"/>
    </row>
    <row r="158" ht="12.75">
      <c r="F158" s="33"/>
    </row>
    <row r="159" ht="12.75">
      <c r="F159" s="33"/>
    </row>
    <row r="160" ht="12.75">
      <c r="F160" s="26"/>
    </row>
    <row r="161" spans="1:6" ht="12.75">
      <c r="A161" s="4" t="s">
        <v>267</v>
      </c>
      <c r="F161" s="26"/>
    </row>
    <row r="162" spans="1:6" ht="12.75">
      <c r="A162" t="s">
        <v>268</v>
      </c>
      <c r="F162" s="26">
        <v>0</v>
      </c>
    </row>
    <row r="163" spans="1:6" ht="12.75">
      <c r="A163" t="s">
        <v>269</v>
      </c>
      <c r="F163" s="26">
        <v>-1800</v>
      </c>
    </row>
    <row r="164" spans="1:6" ht="12.75">
      <c r="A164" t="s">
        <v>270</v>
      </c>
      <c r="F164" s="26">
        <v>-500</v>
      </c>
    </row>
    <row r="165" spans="1:6" ht="12.75">
      <c r="A165" t="s">
        <v>271</v>
      </c>
      <c r="F165" s="26">
        <v>-5000</v>
      </c>
    </row>
    <row r="166" spans="1:6" ht="12.75">
      <c r="A166" t="s">
        <v>292</v>
      </c>
      <c r="F166" s="26">
        <v>-2000</v>
      </c>
    </row>
    <row r="167" spans="1:6" ht="12.75">
      <c r="A167" s="4" t="s">
        <v>272</v>
      </c>
      <c r="F167" s="64">
        <f>SUM(F162:F166)</f>
        <v>-9300</v>
      </c>
    </row>
    <row r="168" ht="12.75">
      <c r="F168" s="26"/>
    </row>
    <row r="169" ht="12.75">
      <c r="F169" s="26"/>
    </row>
    <row r="170" spans="1:6" ht="13.5" thickBot="1">
      <c r="A170" s="65" t="s">
        <v>273</v>
      </c>
      <c r="B170" s="60"/>
      <c r="C170" s="60"/>
      <c r="D170" s="60"/>
      <c r="E170" s="60"/>
      <c r="F170" s="66">
        <f>+F151+F167</f>
        <v>23954.634999999995</v>
      </c>
    </row>
    <row r="171" ht="13.5" thickTop="1">
      <c r="F171" s="33"/>
    </row>
    <row r="172" ht="12.75">
      <c r="F172" s="33"/>
    </row>
    <row r="173" ht="12.75">
      <c r="F173" s="33"/>
    </row>
    <row r="174" ht="12.75">
      <c r="F174" s="33"/>
    </row>
    <row r="175" ht="12.75">
      <c r="F175" s="33"/>
    </row>
    <row r="176" ht="12.75">
      <c r="F176" s="33"/>
    </row>
    <row r="177" ht="12.75">
      <c r="F177" s="33"/>
    </row>
    <row r="178" ht="12.75">
      <c r="F178" s="33"/>
    </row>
    <row r="179" ht="12.75">
      <c r="F179" s="33"/>
    </row>
    <row r="180" ht="12.75">
      <c r="F180" s="33"/>
    </row>
    <row r="181" ht="12.75">
      <c r="F181" s="33"/>
    </row>
    <row r="182" ht="12.75">
      <c r="F182" s="33"/>
    </row>
    <row r="183" ht="12.75">
      <c r="F183" s="33"/>
    </row>
    <row r="184" ht="12.75">
      <c r="F184" s="33"/>
    </row>
    <row r="185" ht="12.75">
      <c r="F185" s="33"/>
    </row>
    <row r="186" ht="12.75">
      <c r="F186" s="33"/>
    </row>
    <row r="187" ht="12.75">
      <c r="F187" s="33"/>
    </row>
    <row r="188" ht="12.75">
      <c r="F188" s="33"/>
    </row>
    <row r="189" ht="12.75">
      <c r="F189" s="33"/>
    </row>
    <row r="190" ht="12.75">
      <c r="F190" s="33"/>
    </row>
    <row r="191" ht="12.75">
      <c r="F191" s="33"/>
    </row>
    <row r="192" ht="12.75">
      <c r="F192" s="33"/>
    </row>
    <row r="193" ht="12.75">
      <c r="F193" s="33"/>
    </row>
    <row r="194" ht="12.75">
      <c r="F194" s="33"/>
    </row>
    <row r="195" ht="12.75">
      <c r="F195" s="33"/>
    </row>
    <row r="196" ht="12.75">
      <c r="F196" s="33"/>
    </row>
    <row r="197" ht="12.75">
      <c r="F197" s="33"/>
    </row>
    <row r="198" ht="12.75">
      <c r="F198" s="33"/>
    </row>
    <row r="199" ht="12.75">
      <c r="F199" s="33"/>
    </row>
    <row r="200" ht="12.75">
      <c r="F200" s="33"/>
    </row>
    <row r="201" ht="12.75">
      <c r="F201" s="33"/>
    </row>
    <row r="202" ht="12.75">
      <c r="F202" s="33"/>
    </row>
    <row r="203" ht="12.75">
      <c r="F203" s="33"/>
    </row>
    <row r="204" ht="12.75">
      <c r="F204" s="33"/>
    </row>
    <row r="205" ht="12.75">
      <c r="F205" s="33"/>
    </row>
    <row r="206" ht="12.75">
      <c r="F206" s="33"/>
    </row>
    <row r="207" ht="12.75">
      <c r="F207" s="33"/>
    </row>
    <row r="208" ht="12.75">
      <c r="F208" s="33"/>
    </row>
    <row r="209" ht="12.75">
      <c r="F209" s="33"/>
    </row>
    <row r="210" ht="12.75">
      <c r="F210" s="33"/>
    </row>
    <row r="211" ht="12.75">
      <c r="F211" s="33"/>
    </row>
    <row r="212" ht="12.75">
      <c r="F212" s="33"/>
    </row>
    <row r="213" ht="12.75">
      <c r="F213" s="33"/>
    </row>
    <row r="214" ht="12.75">
      <c r="F214" s="33"/>
    </row>
    <row r="215" ht="12.75">
      <c r="F215" s="33"/>
    </row>
    <row r="216" ht="12.75">
      <c r="F216" s="33"/>
    </row>
    <row r="217" ht="12.75">
      <c r="F217" s="33"/>
    </row>
    <row r="218" ht="12.75">
      <c r="F218" s="33"/>
    </row>
    <row r="219" ht="12.75">
      <c r="F219" s="33"/>
    </row>
    <row r="220" ht="12.75">
      <c r="F220" s="33"/>
    </row>
    <row r="221" ht="12.75">
      <c r="F221" s="33"/>
    </row>
    <row r="222" ht="12.75">
      <c r="F222" s="33"/>
    </row>
    <row r="223" ht="12.75">
      <c r="F223" s="33"/>
    </row>
    <row r="224" ht="12.75">
      <c r="F224" s="33"/>
    </row>
    <row r="225" ht="12.75">
      <c r="F225" s="33"/>
    </row>
    <row r="226" ht="12.75">
      <c r="F226" s="33"/>
    </row>
    <row r="227" ht="12.75">
      <c r="F227" s="33"/>
    </row>
    <row r="228" ht="12.75">
      <c r="F228" s="33"/>
    </row>
    <row r="229" ht="12.75">
      <c r="F229" s="33"/>
    </row>
    <row r="230" ht="12.75">
      <c r="F230" s="33"/>
    </row>
    <row r="231" ht="12.75">
      <c r="F231" s="33"/>
    </row>
    <row r="232" ht="12.75">
      <c r="F232" s="33"/>
    </row>
    <row r="233" ht="12.75">
      <c r="F233" s="33"/>
    </row>
    <row r="234" ht="12.75">
      <c r="F234" s="33"/>
    </row>
    <row r="235" ht="12.75">
      <c r="F235" s="33"/>
    </row>
    <row r="236" ht="12.75">
      <c r="F236" s="33"/>
    </row>
    <row r="237" ht="12.75">
      <c r="F237" s="33"/>
    </row>
    <row r="238" ht="12.75">
      <c r="F238" s="33"/>
    </row>
    <row r="239" ht="12.75">
      <c r="F239" s="33"/>
    </row>
    <row r="240" ht="12.75">
      <c r="F240" s="33"/>
    </row>
    <row r="241" ht="12.75">
      <c r="F241" s="33"/>
    </row>
    <row r="242" ht="12.75">
      <c r="F242" s="33"/>
    </row>
    <row r="243" ht="12.75">
      <c r="F243" s="33"/>
    </row>
    <row r="244" ht="12.75">
      <c r="F244" s="33"/>
    </row>
    <row r="245" ht="12.75">
      <c r="F245" s="33"/>
    </row>
    <row r="246" ht="12.75">
      <c r="F246" s="33"/>
    </row>
    <row r="247" ht="12.75">
      <c r="F247" s="33"/>
    </row>
    <row r="248" ht="12.75">
      <c r="F248" s="33"/>
    </row>
    <row r="249" ht="12.75">
      <c r="F249" s="33"/>
    </row>
    <row r="250" ht="12.75">
      <c r="F250" s="33"/>
    </row>
    <row r="251" ht="12.75">
      <c r="F251" s="33"/>
    </row>
    <row r="252" ht="12.75">
      <c r="F252" s="33"/>
    </row>
    <row r="253" ht="12.75">
      <c r="F253" s="33"/>
    </row>
    <row r="254" ht="12.75">
      <c r="F254" s="33"/>
    </row>
    <row r="255" ht="12.75">
      <c r="F255" s="33"/>
    </row>
    <row r="256" ht="12.75">
      <c r="F256" s="33"/>
    </row>
    <row r="257" ht="12.75">
      <c r="F257" s="33"/>
    </row>
    <row r="258" ht="12.75">
      <c r="F258" s="33"/>
    </row>
  </sheetData>
  <sheetProtection/>
  <mergeCells count="4">
    <mergeCell ref="A2:F2"/>
    <mergeCell ref="A1:F1"/>
    <mergeCell ref="A3:F3"/>
    <mergeCell ref="A4:F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Old World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lburke</dc:creator>
  <cp:keywords/>
  <dc:description/>
  <cp:lastModifiedBy>Rahul Bhojani</cp:lastModifiedBy>
  <cp:lastPrinted>2011-10-11T20:43:09Z</cp:lastPrinted>
  <dcterms:created xsi:type="dcterms:W3CDTF">2010-09-11T15:29:29Z</dcterms:created>
  <dcterms:modified xsi:type="dcterms:W3CDTF">2011-10-11T20:58:16Z</dcterms:modified>
  <cp:category/>
  <cp:version/>
  <cp:contentType/>
  <cp:contentStatus/>
</cp:coreProperties>
</file>